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45" windowWidth="10275" windowHeight="7515" activeTab="1"/>
  </bookViews>
  <sheets>
    <sheet name="English" sheetId="1" r:id="rId1"/>
    <sheet name="Metric" sheetId="4" r:id="rId2"/>
  </sheets>
  <definedNames>
    <definedName name="Fluid_Loc1" localSheetId="1">Metric!$C$101:$C$102</definedName>
    <definedName name="Fluid_Loc1">English!$C$60:$C$61</definedName>
    <definedName name="_xlnm.Print_Area" localSheetId="0">English!$A$1:$I$51</definedName>
    <definedName name="_xlnm.Print_Area" localSheetId="1">Metric!$A$1:$I$51</definedName>
  </definedNames>
  <calcPr calcId="145621"/>
</workbook>
</file>

<file path=xl/calcChain.xml><?xml version="1.0" encoding="utf-8"?>
<calcChain xmlns="http://schemas.openxmlformats.org/spreadsheetml/2006/main">
  <c r="E117" i="1" l="1"/>
  <c r="D117" i="1"/>
  <c r="D123" i="1"/>
  <c r="E123" i="1"/>
  <c r="D118" i="1"/>
  <c r="D113" i="1"/>
  <c r="D86" i="1"/>
  <c r="D83" i="1"/>
  <c r="F68" i="4" l="1"/>
  <c r="E68" i="4"/>
  <c r="F67" i="4"/>
  <c r="E67" i="4"/>
  <c r="F69" i="4"/>
  <c r="E69" i="4"/>
  <c r="F66" i="4"/>
  <c r="E159" i="4" s="1"/>
  <c r="E66" i="4"/>
  <c r="D122" i="4" s="1"/>
  <c r="F65" i="4"/>
  <c r="E65" i="4"/>
  <c r="F60" i="4"/>
  <c r="E61" i="4"/>
  <c r="E60" i="4"/>
  <c r="C96" i="4" s="1"/>
  <c r="F62" i="4"/>
  <c r="E62" i="4"/>
  <c r="F59" i="4"/>
  <c r="E59" i="4"/>
  <c r="H55" i="4"/>
  <c r="D56" i="4"/>
  <c r="D154" i="4" s="1"/>
  <c r="E154" i="4" s="1"/>
  <c r="D55" i="4"/>
  <c r="E52" i="4"/>
  <c r="D131" i="4"/>
  <c r="E122" i="4"/>
  <c r="E119" i="4"/>
  <c r="F75" i="4" s="1"/>
  <c r="F34" i="4" s="1"/>
  <c r="H109" i="4"/>
  <c r="H106" i="4"/>
  <c r="I117" i="4" s="1"/>
  <c r="C97" i="4"/>
  <c r="D97" i="4" s="1"/>
  <c r="C94" i="4"/>
  <c r="D94" i="4" s="1"/>
  <c r="E72" i="4"/>
  <c r="E31" i="4" s="1"/>
  <c r="F61" i="4"/>
  <c r="C95" i="4" s="1"/>
  <c r="D95" i="4" s="1"/>
  <c r="D124" i="4" l="1"/>
  <c r="D119" i="4"/>
  <c r="E75" i="4" s="1"/>
  <c r="E34" i="4" s="1"/>
  <c r="D162" i="4"/>
  <c r="E162" i="4"/>
  <c r="F20" i="4"/>
  <c r="D159" i="4"/>
  <c r="D126" i="4"/>
  <c r="D123" i="4"/>
  <c r="D127" i="4"/>
  <c r="D96" i="4"/>
  <c r="G96" i="4" s="1"/>
  <c r="G97" i="4" s="1"/>
  <c r="F72" i="4"/>
  <c r="E117" i="4"/>
  <c r="E118" i="4"/>
  <c r="H117" i="4"/>
  <c r="H118" i="4"/>
  <c r="D117" i="4"/>
  <c r="D118" i="4"/>
  <c r="H68" i="1"/>
  <c r="D82" i="1" s="1"/>
  <c r="H65" i="1"/>
  <c r="I118" i="4" l="1"/>
  <c r="F31" i="4"/>
  <c r="G95" i="4"/>
  <c r="D125" i="4"/>
  <c r="E85" i="4"/>
  <c r="E44" i="4" s="1"/>
  <c r="F73" i="4"/>
  <c r="F32" i="4" s="1"/>
  <c r="D156" i="4"/>
  <c r="D120" i="4"/>
  <c r="E74" i="4" s="1"/>
  <c r="E33" i="4" s="1"/>
  <c r="E73" i="4"/>
  <c r="E32" i="4" s="1"/>
  <c r="E156" i="4"/>
  <c r="E120" i="4"/>
  <c r="F74" i="4" s="1"/>
  <c r="F33" i="4" s="1"/>
  <c r="E113" i="1"/>
  <c r="E121" i="1"/>
  <c r="D121" i="1"/>
  <c r="E118" i="1"/>
  <c r="D90" i="1"/>
  <c r="D85" i="1"/>
  <c r="C56" i="1"/>
  <c r="D56" i="1" s="1"/>
  <c r="C55" i="1"/>
  <c r="C53" i="1"/>
  <c r="D53" i="1" s="1"/>
  <c r="E81" i="1"/>
  <c r="D81" i="1"/>
  <c r="D77" i="1"/>
  <c r="D79" i="1" s="1"/>
  <c r="E33" i="1" s="1"/>
  <c r="E78" i="1"/>
  <c r="F34" i="1" s="1"/>
  <c r="D78" i="1"/>
  <c r="E34" i="1" s="1"/>
  <c r="E31" i="1"/>
  <c r="F20" i="1"/>
  <c r="F31" i="1" s="1"/>
  <c r="E121" i="4" l="1"/>
  <c r="E158" i="4" s="1"/>
  <c r="D121" i="4"/>
  <c r="Q133" i="4" s="1"/>
  <c r="R133" i="4"/>
  <c r="X133" i="4"/>
  <c r="H76" i="1"/>
  <c r="D115" i="1"/>
  <c r="I77" i="1"/>
  <c r="D76" i="1"/>
  <c r="D80" i="1" s="1"/>
  <c r="E76" i="1"/>
  <c r="F32" i="1" s="1"/>
  <c r="C54" i="1"/>
  <c r="D54" i="1" s="1"/>
  <c r="E77" i="1"/>
  <c r="I76" i="1"/>
  <c r="H77" i="1"/>
  <c r="D133" i="4" l="1"/>
  <c r="D134" i="4" s="1"/>
  <c r="D137" i="4" s="1"/>
  <c r="D138" i="4" s="1"/>
  <c r="E161" i="4"/>
  <c r="E164" i="4" s="1"/>
  <c r="P133" i="4"/>
  <c r="V133" i="4"/>
  <c r="H133" i="4"/>
  <c r="D136" i="4"/>
  <c r="Y133" i="4"/>
  <c r="L133" i="4"/>
  <c r="J133" i="4"/>
  <c r="E165" i="4"/>
  <c r="D161" i="4"/>
  <c r="D164" i="4" s="1"/>
  <c r="K133" i="4"/>
  <c r="F76" i="4"/>
  <c r="F133" i="4"/>
  <c r="Z133" i="4"/>
  <c r="C136" i="4"/>
  <c r="E133" i="4"/>
  <c r="E76" i="4"/>
  <c r="E78" i="4" s="1"/>
  <c r="E37" i="4" s="1"/>
  <c r="O133" i="4"/>
  <c r="I133" i="4"/>
  <c r="D158" i="4"/>
  <c r="W133" i="4"/>
  <c r="U133" i="4"/>
  <c r="AB133" i="4"/>
  <c r="T133" i="4"/>
  <c r="N133" i="4"/>
  <c r="G133" i="4"/>
  <c r="AA133" i="4"/>
  <c r="M133" i="4"/>
  <c r="C133" i="4"/>
  <c r="C134" i="4" s="1"/>
  <c r="C137" i="4" s="1"/>
  <c r="C138" i="4" s="1"/>
  <c r="C141" i="4" s="1"/>
  <c r="S133" i="4"/>
  <c r="D165" i="4"/>
  <c r="F77" i="4"/>
  <c r="F36" i="4" s="1"/>
  <c r="E32" i="1"/>
  <c r="D124" i="1"/>
  <c r="E35" i="1"/>
  <c r="D120" i="1"/>
  <c r="E92" i="1"/>
  <c r="I92" i="1"/>
  <c r="C95" i="1"/>
  <c r="M92" i="1"/>
  <c r="O92" i="1"/>
  <c r="C92" i="1"/>
  <c r="C93" i="1" s="1"/>
  <c r="C96" i="1" s="1"/>
  <c r="C97" i="1" s="1"/>
  <c r="Y92" i="1"/>
  <c r="U92" i="1"/>
  <c r="E79" i="1"/>
  <c r="F33" i="1" s="1"/>
  <c r="E115" i="1"/>
  <c r="K92" i="1"/>
  <c r="W92" i="1"/>
  <c r="Q92" i="1"/>
  <c r="D55" i="1"/>
  <c r="G55" i="1" s="1"/>
  <c r="AA92" i="1"/>
  <c r="S92" i="1"/>
  <c r="G92" i="1"/>
  <c r="F78" i="4" l="1"/>
  <c r="F37" i="4" s="1"/>
  <c r="F35" i="4"/>
  <c r="E77" i="4"/>
  <c r="E36" i="4" s="1"/>
  <c r="E35" i="4"/>
  <c r="D141" i="4"/>
  <c r="C142" i="4" s="1"/>
  <c r="C143" i="4" s="1"/>
  <c r="C144" i="4" s="1"/>
  <c r="E131" i="4" s="1"/>
  <c r="F131" i="4" s="1"/>
  <c r="F136" i="4" s="1"/>
  <c r="E80" i="1"/>
  <c r="T92" i="1" s="1"/>
  <c r="E36" i="1"/>
  <c r="E37" i="1"/>
  <c r="G54" i="1"/>
  <c r="AB92" i="1"/>
  <c r="E134" i="4" l="1"/>
  <c r="E137" i="4" s="1"/>
  <c r="E138" i="4" s="1"/>
  <c r="H92" i="1"/>
  <c r="E136" i="4"/>
  <c r="F134" i="4"/>
  <c r="F137" i="4" s="1"/>
  <c r="F138" i="4" s="1"/>
  <c r="G56" i="1"/>
  <c r="E44" i="1" s="1"/>
  <c r="V92" i="1"/>
  <c r="D95" i="1"/>
  <c r="P92" i="1"/>
  <c r="L92" i="1"/>
  <c r="D92" i="1"/>
  <c r="D93" i="1" s="1"/>
  <c r="D96" i="1" s="1"/>
  <c r="D97" i="1" s="1"/>
  <c r="C100" i="1" s="1"/>
  <c r="E124" i="1"/>
  <c r="F35" i="1"/>
  <c r="F36" i="1" s="1"/>
  <c r="F92" i="1"/>
  <c r="X92" i="1"/>
  <c r="R92" i="1"/>
  <c r="E120" i="1"/>
  <c r="J92" i="1"/>
  <c r="N92" i="1"/>
  <c r="Z92" i="1"/>
  <c r="E141" i="4" l="1"/>
  <c r="F141" i="4"/>
  <c r="E142" i="4" s="1"/>
  <c r="E143" i="4" s="1"/>
  <c r="E144" i="4" s="1"/>
  <c r="G131" i="4" s="1"/>
  <c r="D84" i="1"/>
  <c r="F37" i="1"/>
  <c r="D100" i="1"/>
  <c r="C101" i="1" s="1"/>
  <c r="C102" i="1" s="1"/>
  <c r="C103" i="1" s="1"/>
  <c r="E90" i="1" l="1"/>
  <c r="E93" i="1" s="1"/>
  <c r="E96" i="1" s="1"/>
  <c r="E97" i="1" s="1"/>
  <c r="H131" i="4"/>
  <c r="G136" i="4"/>
  <c r="G134" i="4"/>
  <c r="G137" i="4" s="1"/>
  <c r="G138" i="4" s="1"/>
  <c r="E95" i="1"/>
  <c r="F90" i="1"/>
  <c r="F95" i="1" s="1"/>
  <c r="H136" i="4" l="1"/>
  <c r="H134" i="4"/>
  <c r="H137" i="4" s="1"/>
  <c r="H138" i="4" s="1"/>
  <c r="G141" i="4" s="1"/>
  <c r="F93" i="1"/>
  <c r="F96" i="1" s="1"/>
  <c r="F97" i="1" s="1"/>
  <c r="E100" i="1" s="1"/>
  <c r="H141" i="4" l="1"/>
  <c r="G142" i="4"/>
  <c r="G143" i="4" s="1"/>
  <c r="G144" i="4" s="1"/>
  <c r="I131" i="4" s="1"/>
  <c r="I136" i="4" s="1"/>
  <c r="F100" i="1"/>
  <c r="E101" i="1" s="1"/>
  <c r="E102" i="1" s="1"/>
  <c r="E103" i="1" s="1"/>
  <c r="G90" i="1" s="1"/>
  <c r="G95" i="1" s="1"/>
  <c r="J131" i="4" l="1"/>
  <c r="J134" i="4" s="1"/>
  <c r="J137" i="4" s="1"/>
  <c r="J138" i="4" s="1"/>
  <c r="I134" i="4"/>
  <c r="I137" i="4" s="1"/>
  <c r="I138" i="4" s="1"/>
  <c r="J141" i="4" s="1"/>
  <c r="J136" i="4"/>
  <c r="G93" i="1"/>
  <c r="G96" i="1" s="1"/>
  <c r="G97" i="1" s="1"/>
  <c r="H90" i="1"/>
  <c r="H95" i="1" s="1"/>
  <c r="I141" i="4" l="1"/>
  <c r="I142" i="4" s="1"/>
  <c r="I143" i="4" s="1"/>
  <c r="I144" i="4" s="1"/>
  <c r="K131" i="4" s="1"/>
  <c r="L131" i="4" s="1"/>
  <c r="L134" i="4" s="1"/>
  <c r="L137" i="4" s="1"/>
  <c r="L138" i="4" s="1"/>
  <c r="H93" i="1"/>
  <c r="H96" i="1" s="1"/>
  <c r="H97" i="1" s="1"/>
  <c r="G100" i="1" s="1"/>
  <c r="L136" i="4" l="1"/>
  <c r="K136" i="4"/>
  <c r="K134" i="4"/>
  <c r="K137" i="4" s="1"/>
  <c r="K138" i="4" s="1"/>
  <c r="K141" i="4" s="1"/>
  <c r="H100" i="1"/>
  <c r="G101" i="1" s="1"/>
  <c r="G102" i="1" s="1"/>
  <c r="G103" i="1" s="1"/>
  <c r="I90" i="1" s="1"/>
  <c r="I93" i="1" s="1"/>
  <c r="I96" i="1" s="1"/>
  <c r="I97" i="1" s="1"/>
  <c r="L141" i="4" l="1"/>
  <c r="K142" i="4"/>
  <c r="K143" i="4" s="1"/>
  <c r="K144" i="4" s="1"/>
  <c r="M131" i="4" s="1"/>
  <c r="M134" i="4" s="1"/>
  <c r="M137" i="4" s="1"/>
  <c r="M138" i="4" s="1"/>
  <c r="I95" i="1"/>
  <c r="J90" i="1"/>
  <c r="J95" i="1" s="1"/>
  <c r="N131" i="4" l="1"/>
  <c r="N134" i="4" s="1"/>
  <c r="N137" i="4" s="1"/>
  <c r="N138" i="4" s="1"/>
  <c r="N141" i="4" s="1"/>
  <c r="M136" i="4"/>
  <c r="J93" i="1"/>
  <c r="J96" i="1" s="1"/>
  <c r="J97" i="1" s="1"/>
  <c r="I100" i="1" s="1"/>
  <c r="N136" i="4" l="1"/>
  <c r="M141" i="4"/>
  <c r="M142" i="4" s="1"/>
  <c r="M143" i="4" s="1"/>
  <c r="M144" i="4" s="1"/>
  <c r="O131" i="4" s="1"/>
  <c r="J100" i="1"/>
  <c r="I101" i="1" s="1"/>
  <c r="I102" i="1" s="1"/>
  <c r="I103" i="1" s="1"/>
  <c r="K90" i="1" s="1"/>
  <c r="L90" i="1" s="1"/>
  <c r="O134" i="4" l="1"/>
  <c r="P131" i="4"/>
  <c r="O136" i="4"/>
  <c r="K93" i="1"/>
  <c r="K96" i="1" s="1"/>
  <c r="K97" i="1" s="1"/>
  <c r="L93" i="1"/>
  <c r="L96" i="1" s="1"/>
  <c r="L97" i="1" s="1"/>
  <c r="L95" i="1"/>
  <c r="K95" i="1"/>
  <c r="O137" i="4" l="1"/>
  <c r="O138" i="4" s="1"/>
  <c r="P134" i="4"/>
  <c r="P137" i="4" s="1"/>
  <c r="P138" i="4" s="1"/>
  <c r="P141" i="4" s="1"/>
  <c r="P136" i="4"/>
  <c r="L100" i="1"/>
  <c r="K100" i="1"/>
  <c r="O141" i="4" l="1"/>
  <c r="O142" i="4" s="1"/>
  <c r="O143" i="4" s="1"/>
  <c r="O144" i="4" s="1"/>
  <c r="Q131" i="4" s="1"/>
  <c r="Q136" i="4" s="1"/>
  <c r="K101" i="1"/>
  <c r="K102" i="1" s="1"/>
  <c r="K103" i="1" s="1"/>
  <c r="M90" i="1" s="1"/>
  <c r="N90" i="1" s="1"/>
  <c r="N93" i="1" s="1"/>
  <c r="N96" i="1" s="1"/>
  <c r="N97" i="1" s="1"/>
  <c r="R131" i="4" l="1"/>
  <c r="R136" i="4" s="1"/>
  <c r="Q134" i="4"/>
  <c r="Q137" i="4" s="1"/>
  <c r="Q138" i="4" s="1"/>
  <c r="R134" i="4"/>
  <c r="R137" i="4" s="1"/>
  <c r="R138" i="4" s="1"/>
  <c r="R141" i="4" s="1"/>
  <c r="M95" i="1"/>
  <c r="M93" i="1"/>
  <c r="M96" i="1" s="1"/>
  <c r="M97" i="1" s="1"/>
  <c r="M100" i="1" s="1"/>
  <c r="N95" i="1"/>
  <c r="Q141" i="4" l="1"/>
  <c r="Q142" i="4" s="1"/>
  <c r="Q143" i="4" s="1"/>
  <c r="Q144" i="4" s="1"/>
  <c r="S131" i="4" s="1"/>
  <c r="N100" i="1"/>
  <c r="M101" i="1"/>
  <c r="M102" i="1" s="1"/>
  <c r="M103" i="1" s="1"/>
  <c r="O90" i="1" s="1"/>
  <c r="O93" i="1" s="1"/>
  <c r="O96" i="1" s="1"/>
  <c r="O97" i="1" s="1"/>
  <c r="S134" i="4" l="1"/>
  <c r="T131" i="4"/>
  <c r="S136" i="4"/>
  <c r="P90" i="1"/>
  <c r="P95" i="1" s="1"/>
  <c r="O95" i="1"/>
  <c r="S137" i="4" l="1"/>
  <c r="S138" i="4" s="1"/>
  <c r="P93" i="1"/>
  <c r="P96" i="1" s="1"/>
  <c r="P97" i="1" s="1"/>
  <c r="O100" i="1" s="1"/>
  <c r="T136" i="4"/>
  <c r="T134" i="4"/>
  <c r="T137" i="4" s="1"/>
  <c r="T138" i="4" s="1"/>
  <c r="T141" i="4" s="1"/>
  <c r="P100" i="1" l="1"/>
  <c r="O101" i="1" s="1"/>
  <c r="O102" i="1" s="1"/>
  <c r="O103" i="1" s="1"/>
  <c r="Q90" i="1" s="1"/>
  <c r="Q93" i="1" s="1"/>
  <c r="Q96" i="1" s="1"/>
  <c r="Q97" i="1" s="1"/>
  <c r="S141" i="4"/>
  <c r="S142" i="4" s="1"/>
  <c r="S143" i="4" s="1"/>
  <c r="S144" i="4" s="1"/>
  <c r="U131" i="4" s="1"/>
  <c r="R90" i="1" l="1"/>
  <c r="Q95" i="1"/>
  <c r="U136" i="4"/>
  <c r="V131" i="4"/>
  <c r="U134" i="4"/>
  <c r="U137" i="4" s="1"/>
  <c r="U138" i="4" s="1"/>
  <c r="R95" i="1"/>
  <c r="R93" i="1"/>
  <c r="R96" i="1" s="1"/>
  <c r="R97" i="1" s="1"/>
  <c r="V136" i="4" l="1"/>
  <c r="V134" i="4"/>
  <c r="V137" i="4" s="1"/>
  <c r="V138" i="4" s="1"/>
  <c r="V141" i="4" s="1"/>
  <c r="Q100" i="1"/>
  <c r="R100" i="1"/>
  <c r="Q101" i="1" s="1"/>
  <c r="Q102" i="1" s="1"/>
  <c r="Q103" i="1" s="1"/>
  <c r="S90" i="1" s="1"/>
  <c r="U141" i="4" l="1"/>
  <c r="U142" i="4" s="1"/>
  <c r="U143" i="4" s="1"/>
  <c r="U144" i="4" s="1"/>
  <c r="W131" i="4" s="1"/>
  <c r="S93" i="1"/>
  <c r="S96" i="1" s="1"/>
  <c r="S97" i="1" s="1"/>
  <c r="S95" i="1"/>
  <c r="T90" i="1"/>
  <c r="W134" i="4" l="1"/>
  <c r="X131" i="4"/>
  <c r="W136" i="4"/>
  <c r="T93" i="1"/>
  <c r="T96" i="1" s="1"/>
  <c r="T97" i="1" s="1"/>
  <c r="T100" i="1" s="1"/>
  <c r="T95" i="1"/>
  <c r="W137" i="4" l="1"/>
  <c r="W138" i="4" s="1"/>
  <c r="X134" i="4"/>
  <c r="X137" i="4" s="1"/>
  <c r="X138" i="4" s="1"/>
  <c r="X141" i="4" s="1"/>
  <c r="X136" i="4"/>
  <c r="S100" i="1"/>
  <c r="S101" i="1" s="1"/>
  <c r="S102" i="1" s="1"/>
  <c r="S103" i="1" s="1"/>
  <c r="U90" i="1" s="1"/>
  <c r="W141" i="4" l="1"/>
  <c r="W142" i="4"/>
  <c r="W143" i="4" s="1"/>
  <c r="W144" i="4" s="1"/>
  <c r="Y131" i="4" s="1"/>
  <c r="Z131" i="4" s="1"/>
  <c r="U93" i="1"/>
  <c r="U96" i="1" s="1"/>
  <c r="U97" i="1" s="1"/>
  <c r="V90" i="1"/>
  <c r="U95" i="1"/>
  <c r="Y134" i="4" l="1"/>
  <c r="Y137" i="4" s="1"/>
  <c r="Y138" i="4" s="1"/>
  <c r="Y136" i="4"/>
  <c r="Z136" i="4"/>
  <c r="Z134" i="4"/>
  <c r="Z137" i="4" s="1"/>
  <c r="Z138" i="4" s="1"/>
  <c r="Z141" i="4" s="1"/>
  <c r="V95" i="1"/>
  <c r="V93" i="1"/>
  <c r="V96" i="1" s="1"/>
  <c r="V97" i="1" s="1"/>
  <c r="U100" i="1" s="1"/>
  <c r="Y141" i="4" l="1"/>
  <c r="Y142" i="4" s="1"/>
  <c r="Y143" i="4" s="1"/>
  <c r="Y144" i="4" s="1"/>
  <c r="AA131" i="4" s="1"/>
  <c r="V100" i="1"/>
  <c r="U101" i="1" s="1"/>
  <c r="U102" i="1" s="1"/>
  <c r="U103" i="1" s="1"/>
  <c r="W90" i="1" s="1"/>
  <c r="AA136" i="4" l="1"/>
  <c r="AA134" i="4"/>
  <c r="AA137" i="4" s="1"/>
  <c r="AA138" i="4" s="1"/>
  <c r="AB131" i="4"/>
  <c r="X90" i="1"/>
  <c r="W95" i="1"/>
  <c r="W93" i="1"/>
  <c r="W96" i="1" s="1"/>
  <c r="W97" i="1" s="1"/>
  <c r="AB136" i="4" l="1"/>
  <c r="AB134" i="4"/>
  <c r="AB137" i="4" s="1"/>
  <c r="AB138" i="4" s="1"/>
  <c r="AB141" i="4" s="1"/>
  <c r="C103" i="4" s="1"/>
  <c r="E79" i="4"/>
  <c r="E38" i="4" s="1"/>
  <c r="X93" i="1"/>
  <c r="X96" i="1" s="1"/>
  <c r="X97" i="1" s="1"/>
  <c r="X100" i="1" s="1"/>
  <c r="X95" i="1"/>
  <c r="AA141" i="4" l="1"/>
  <c r="F79" i="4"/>
  <c r="F38" i="4" s="1"/>
  <c r="W100" i="1"/>
  <c r="W101" i="1" s="1"/>
  <c r="W102" i="1" s="1"/>
  <c r="W103" i="1" s="1"/>
  <c r="Y90" i="1" s="1"/>
  <c r="C102" i="4" l="1"/>
  <c r="C104" i="4" s="1"/>
  <c r="E86" i="4" s="1"/>
  <c r="E45" i="4" s="1"/>
  <c r="AA142" i="4"/>
  <c r="Y95" i="1"/>
  <c r="Y93" i="1"/>
  <c r="Y96" i="1" s="1"/>
  <c r="Y97" i="1" s="1"/>
  <c r="Z90" i="1"/>
  <c r="AA143" i="4" l="1"/>
  <c r="E87" i="4"/>
  <c r="E46" i="4" s="1"/>
  <c r="Z95" i="1"/>
  <c r="Z93" i="1"/>
  <c r="Z96" i="1" s="1"/>
  <c r="Z97" i="1" s="1"/>
  <c r="Y100" i="1" s="1"/>
  <c r="D147" i="4" l="1"/>
  <c r="E88" i="4" s="1"/>
  <c r="E47" i="4" s="1"/>
  <c r="AA144" i="4"/>
  <c r="D146" i="4" s="1"/>
  <c r="Z100" i="1"/>
  <c r="Y101" i="1" s="1"/>
  <c r="Y102" i="1" s="1"/>
  <c r="Y103" i="1" s="1"/>
  <c r="AA90" i="1" s="1"/>
  <c r="E89" i="4" l="1"/>
  <c r="E48" i="4" s="1"/>
  <c r="D149" i="4"/>
  <c r="AA95" i="1"/>
  <c r="AA93" i="1"/>
  <c r="AA96" i="1" s="1"/>
  <c r="AA97" i="1" s="1"/>
  <c r="E38" i="1" s="1"/>
  <c r="AB90" i="1"/>
  <c r="E90" i="4" l="1"/>
  <c r="E49" i="4" s="1"/>
  <c r="F149" i="4"/>
  <c r="G149" i="4" s="1"/>
  <c r="H149" i="4" s="1"/>
  <c r="D150" i="4" s="1"/>
  <c r="AB93" i="1"/>
  <c r="AB96" i="1" s="1"/>
  <c r="AB97" i="1" s="1"/>
  <c r="AB95" i="1"/>
  <c r="D151" i="4" l="1"/>
  <c r="E91" i="4"/>
  <c r="E50" i="4" s="1"/>
  <c r="AA100" i="1"/>
  <c r="C61" i="1" s="1"/>
  <c r="C63" i="1" s="1"/>
  <c r="E45" i="1" s="1"/>
  <c r="F38" i="1"/>
  <c r="AB100" i="1"/>
  <c r="C62" i="1" s="1"/>
  <c r="D166" i="4" l="1"/>
  <c r="E166" i="4"/>
  <c r="AA101" i="1"/>
  <c r="E169" i="4" l="1"/>
  <c r="E170" i="4" s="1"/>
  <c r="F81" i="4" s="1"/>
  <c r="F40" i="4" s="1"/>
  <c r="F80" i="4"/>
  <c r="F39" i="4" s="1"/>
  <c r="E168" i="4"/>
  <c r="D168" i="4"/>
  <c r="D169" i="4"/>
  <c r="E80" i="4"/>
  <c r="E39" i="4" s="1"/>
  <c r="E46" i="1"/>
  <c r="AA102" i="1"/>
  <c r="D170" i="4" l="1"/>
  <c r="E81" i="4" s="1"/>
  <c r="E40" i="4" s="1"/>
  <c r="AA103" i="1"/>
  <c r="D105" i="1" s="1"/>
  <c r="D106" i="1"/>
  <c r="E47" i="1" s="1"/>
  <c r="E48" i="1" l="1"/>
  <c r="D108" i="1"/>
  <c r="E49" i="1" l="1"/>
  <c r="F108" i="1"/>
  <c r="G108" i="1" s="1"/>
  <c r="H108" i="1" s="1"/>
  <c r="D109" i="1" s="1"/>
  <c r="E50" i="1" l="1"/>
  <c r="D110" i="1"/>
  <c r="D125" i="1" l="1"/>
  <c r="E125" i="1"/>
  <c r="F39" i="1" s="1"/>
  <c r="E39" i="1"/>
  <c r="E127" i="1" l="1"/>
  <c r="E128" i="1"/>
  <c r="E129" i="1" s="1"/>
  <c r="F40" i="1" s="1"/>
  <c r="D128" i="1"/>
  <c r="D129" i="1" s="1"/>
  <c r="E40" i="1" s="1"/>
  <c r="D127" i="1"/>
</calcChain>
</file>

<file path=xl/sharedStrings.xml><?xml version="1.0" encoding="utf-8"?>
<sst xmlns="http://schemas.openxmlformats.org/spreadsheetml/2006/main" count="508" uniqueCount="139">
  <si>
    <t>Tag No.</t>
  </si>
  <si>
    <t>Date</t>
  </si>
  <si>
    <t>By</t>
  </si>
  <si>
    <t>Double Pipe Data</t>
  </si>
  <si>
    <t>Inner Pipe</t>
  </si>
  <si>
    <t>Outer Pipe</t>
  </si>
  <si>
    <t>Material</t>
  </si>
  <si>
    <t>Hot Fluid Location</t>
  </si>
  <si>
    <t>Carbon Steel</t>
  </si>
  <si>
    <t>Copper</t>
  </si>
  <si>
    <t>Inconel</t>
  </si>
  <si>
    <t>Monel</t>
  </si>
  <si>
    <t>Nickel</t>
  </si>
  <si>
    <t>Stainless Steel</t>
  </si>
  <si>
    <t>Selected</t>
  </si>
  <si>
    <t>Inside Diameter</t>
  </si>
  <si>
    <t>inch</t>
  </si>
  <si>
    <t>Outside Diameter</t>
  </si>
  <si>
    <t>Flowrate</t>
  </si>
  <si>
    <t>lb/h</t>
  </si>
  <si>
    <t>Hot</t>
  </si>
  <si>
    <t>Cold</t>
  </si>
  <si>
    <t>Inlet Temperature</t>
  </si>
  <si>
    <t>Outlet Temperature</t>
  </si>
  <si>
    <t>Fouling Factor</t>
  </si>
  <si>
    <t>Fluid Data</t>
  </si>
  <si>
    <t>Properties</t>
  </si>
  <si>
    <t>Density</t>
  </si>
  <si>
    <t>Viscosity</t>
  </si>
  <si>
    <t>cP</t>
  </si>
  <si>
    <t>Specific Heat</t>
  </si>
  <si>
    <t>Thermal Conductivity</t>
  </si>
  <si>
    <t>Viscosity at Wall</t>
  </si>
  <si>
    <t>Calculations</t>
  </si>
  <si>
    <t>Mean Temperature</t>
  </si>
  <si>
    <t>oF</t>
  </si>
  <si>
    <t>Hot Side</t>
  </si>
  <si>
    <t>Cold Side</t>
  </si>
  <si>
    <t>De</t>
  </si>
  <si>
    <t>Flowarea</t>
  </si>
  <si>
    <t>Pr</t>
  </si>
  <si>
    <t>Re</t>
  </si>
  <si>
    <t>Velocity</t>
  </si>
  <si>
    <t>Reynold</t>
  </si>
  <si>
    <t>Equivalent Diameter</t>
  </si>
  <si>
    <t>ft/s</t>
  </si>
  <si>
    <t>Prandtl's Number</t>
  </si>
  <si>
    <t>Reynold's Number</t>
  </si>
  <si>
    <t>Wall Resistance</t>
  </si>
  <si>
    <t>Inner</t>
  </si>
  <si>
    <t>Outer</t>
  </si>
  <si>
    <t>Fouling</t>
  </si>
  <si>
    <t>Mean T</t>
  </si>
  <si>
    <t>Length</t>
  </si>
  <si>
    <t>Nu &gt;2300</t>
  </si>
  <si>
    <t>f</t>
  </si>
  <si>
    <t>Nu_Val</t>
  </si>
  <si>
    <t>Nu&lt;2300</t>
  </si>
  <si>
    <t>Nu Select</t>
  </si>
  <si>
    <t>Viscosity Ratio</t>
  </si>
  <si>
    <t>h</t>
  </si>
  <si>
    <t>h pipe</t>
  </si>
  <si>
    <t>Dratio</t>
  </si>
  <si>
    <t>Uovll</t>
  </si>
  <si>
    <t>Flow</t>
  </si>
  <si>
    <t>t1</t>
  </si>
  <si>
    <t>t2</t>
  </si>
  <si>
    <t>T1</t>
  </si>
  <si>
    <t>T2</t>
  </si>
  <si>
    <t>LMTD</t>
  </si>
  <si>
    <t>Counter</t>
  </si>
  <si>
    <t>Co-curr</t>
  </si>
  <si>
    <t>Area</t>
  </si>
  <si>
    <t>Q</t>
  </si>
  <si>
    <t>D1</t>
  </si>
  <si>
    <t>Iteration</t>
  </si>
  <si>
    <t>Length Selected</t>
  </si>
  <si>
    <t>Flow Region</t>
  </si>
  <si>
    <t>Correlation</t>
  </si>
  <si>
    <t>Film Coefficient</t>
  </si>
  <si>
    <t>Hairpin Length</t>
  </si>
  <si>
    <t>ft</t>
  </si>
  <si>
    <t>Hairpin Calculated</t>
  </si>
  <si>
    <t>Round off</t>
  </si>
  <si>
    <t>Hairpin Selected</t>
  </si>
  <si>
    <t>Length Final</t>
  </si>
  <si>
    <t>Pressure Drop Calculation</t>
  </si>
  <si>
    <t>Mass Flux</t>
  </si>
  <si>
    <t>Re &lt;2300</t>
  </si>
  <si>
    <t>Phi</t>
  </si>
  <si>
    <t>Re &gt; 2300</t>
  </si>
  <si>
    <t>k_t</t>
  </si>
  <si>
    <t>DP</t>
  </si>
  <si>
    <t>psi</t>
  </si>
  <si>
    <t>Re&lt;2300</t>
  </si>
  <si>
    <t>Total DP</t>
  </si>
  <si>
    <t>Re&gt;2300</t>
  </si>
  <si>
    <t>Total Pressure Drop</t>
  </si>
  <si>
    <t>Sizing Result</t>
  </si>
  <si>
    <t>hi</t>
  </si>
  <si>
    <t>ho</t>
  </si>
  <si>
    <t>Tw</t>
  </si>
  <si>
    <t>Tube wall temperature</t>
  </si>
  <si>
    <t>Heat Transfer Coefficient</t>
  </si>
  <si>
    <t>No. of Hairpin</t>
  </si>
  <si>
    <t>Counter-current</t>
  </si>
  <si>
    <t>Co-current</t>
  </si>
  <si>
    <t>(Including Bends)</t>
  </si>
  <si>
    <t>Straight Length DP</t>
  </si>
  <si>
    <t>@ Mean Temperature</t>
  </si>
  <si>
    <r>
      <rPr>
        <sz val="11"/>
        <color rgb="FF7030A0"/>
        <rFont val="Calibri"/>
        <family val="2"/>
      </rPr>
      <t>°</t>
    </r>
    <r>
      <rPr>
        <sz val="11"/>
        <color rgb="FF7030A0"/>
        <rFont val="Calibri"/>
        <family val="2"/>
        <scheme val="minor"/>
      </rPr>
      <t>F</t>
    </r>
  </si>
  <si>
    <r>
      <t>h.ft</t>
    </r>
    <r>
      <rPr>
        <sz val="11"/>
        <color rgb="FF7030A0"/>
        <rFont val="Calibri"/>
        <family val="2"/>
      </rPr>
      <t>²</t>
    </r>
    <r>
      <rPr>
        <sz val="11"/>
        <color rgb="FF7030A0"/>
        <rFont val="Calibri"/>
        <family val="2"/>
        <scheme val="minor"/>
      </rPr>
      <t>.°F/BTU</t>
    </r>
  </si>
  <si>
    <r>
      <t>lb/ft</t>
    </r>
    <r>
      <rPr>
        <sz val="11"/>
        <color rgb="FF7030A0"/>
        <rFont val="Calibri"/>
        <family val="2"/>
      </rPr>
      <t>³</t>
    </r>
  </si>
  <si>
    <r>
      <t>BTU/lb.</t>
    </r>
    <r>
      <rPr>
        <sz val="11"/>
        <color rgb="FF7030A0"/>
        <rFont val="Calibri"/>
        <family val="2"/>
      </rPr>
      <t>°</t>
    </r>
    <r>
      <rPr>
        <sz val="11"/>
        <color rgb="FF7030A0"/>
        <rFont val="Calibri"/>
        <family val="2"/>
        <scheme val="minor"/>
      </rPr>
      <t>F</t>
    </r>
  </si>
  <si>
    <r>
      <t>BTU/ft.h.</t>
    </r>
    <r>
      <rPr>
        <sz val="11"/>
        <color rgb="FF7030A0"/>
        <rFont val="Calibri"/>
        <family val="2"/>
      </rPr>
      <t>°</t>
    </r>
    <r>
      <rPr>
        <sz val="11"/>
        <color rgb="FF7030A0"/>
        <rFont val="Calibri"/>
        <family val="2"/>
        <scheme val="minor"/>
      </rPr>
      <t>F</t>
    </r>
  </si>
  <si>
    <r>
      <t>BTU/h.ft</t>
    </r>
    <r>
      <rPr>
        <sz val="11"/>
        <color rgb="FF7030A0"/>
        <rFont val="Calibri"/>
        <family val="2"/>
      </rPr>
      <t>²</t>
    </r>
    <r>
      <rPr>
        <sz val="11"/>
        <color rgb="FF7030A0"/>
        <rFont val="Calibri"/>
        <family val="2"/>
        <scheme val="minor"/>
      </rPr>
      <t>.</t>
    </r>
    <r>
      <rPr>
        <sz val="11"/>
        <color rgb="FF7030A0"/>
        <rFont val="Calibri"/>
        <family val="2"/>
      </rPr>
      <t>°</t>
    </r>
    <r>
      <rPr>
        <sz val="11"/>
        <color rgb="FF7030A0"/>
        <rFont val="Calibri"/>
        <family val="2"/>
        <scheme val="minor"/>
      </rPr>
      <t>F</t>
    </r>
  </si>
  <si>
    <t>BTU/h.ft².°F</t>
  </si>
  <si>
    <r>
      <t>ft</t>
    </r>
    <r>
      <rPr>
        <sz val="11"/>
        <color rgb="FF7030A0"/>
        <rFont val="Calibri"/>
        <family val="2"/>
      </rPr>
      <t>²</t>
    </r>
  </si>
  <si>
    <t>m</t>
  </si>
  <si>
    <t>mm</t>
  </si>
  <si>
    <t>kg/h</t>
  </si>
  <si>
    <t>°C</t>
  </si>
  <si>
    <r>
      <t>h.m</t>
    </r>
    <r>
      <rPr>
        <sz val="11"/>
        <color rgb="FF7030A0"/>
        <rFont val="Calibri"/>
        <family val="2"/>
      </rPr>
      <t>²</t>
    </r>
    <r>
      <rPr>
        <sz val="11"/>
        <color rgb="FF7030A0"/>
        <rFont val="Calibri"/>
        <family val="2"/>
        <scheme val="minor"/>
      </rPr>
      <t>.°C/kcal</t>
    </r>
  </si>
  <si>
    <r>
      <t>kg/m</t>
    </r>
    <r>
      <rPr>
        <sz val="11"/>
        <color rgb="FF7030A0"/>
        <rFont val="Calibri"/>
        <family val="2"/>
      </rPr>
      <t>³</t>
    </r>
  </si>
  <si>
    <r>
      <t>kcal/kg.</t>
    </r>
    <r>
      <rPr>
        <sz val="11"/>
        <color rgb="FF7030A0"/>
        <rFont val="Calibri"/>
        <family val="2"/>
      </rPr>
      <t>°C</t>
    </r>
  </si>
  <si>
    <r>
      <t>kcal/m.h.</t>
    </r>
    <r>
      <rPr>
        <sz val="11"/>
        <color rgb="FF7030A0"/>
        <rFont val="Calibri"/>
        <family val="2"/>
      </rPr>
      <t>°C</t>
    </r>
  </si>
  <si>
    <t>m/s</t>
  </si>
  <si>
    <r>
      <t>kcal/h.m</t>
    </r>
    <r>
      <rPr>
        <sz val="11"/>
        <color rgb="FF7030A0"/>
        <rFont val="Calibri"/>
        <family val="2"/>
      </rPr>
      <t>²</t>
    </r>
    <r>
      <rPr>
        <sz val="11"/>
        <color rgb="FF7030A0"/>
        <rFont val="Calibri"/>
        <family val="2"/>
        <scheme val="minor"/>
      </rPr>
      <t>.</t>
    </r>
    <r>
      <rPr>
        <sz val="11"/>
        <color rgb="FF7030A0"/>
        <rFont val="Calibri"/>
        <family val="2"/>
      </rPr>
      <t>°C</t>
    </r>
  </si>
  <si>
    <t>bar</t>
  </si>
  <si>
    <r>
      <t>m</t>
    </r>
    <r>
      <rPr>
        <sz val="11"/>
        <color rgb="FF7030A0"/>
        <rFont val="Calibri"/>
        <family val="2"/>
      </rPr>
      <t>²</t>
    </r>
  </si>
  <si>
    <t>E-101</t>
  </si>
  <si>
    <t>Description</t>
  </si>
  <si>
    <t>Product Cooler</t>
  </si>
  <si>
    <t xml:space="preserve">User Input </t>
  </si>
  <si>
    <t>Double Pipe Heat Exchanger Design</t>
  </si>
  <si>
    <t>CheGuide.com</t>
  </si>
  <si>
    <t>Chemical Engineer's Guide</t>
  </si>
  <si>
    <t>CheGuide</t>
  </si>
  <si>
    <t>29-Dec-15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</si>
</sst>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00"/>
    <numFmt numFmtId="166" formatCode="0.0"/>
    <numFmt numFmtId="167" formatCode="0.00000"/>
    <numFmt numFmtId="168" formatCode="[$-14009]d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7030A0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/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145481734672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1" fontId="0" fillId="0" borderId="0" xfId="0" applyNumberFormat="1"/>
    <xf numFmtId="0" fontId="4" fillId="0" borderId="0" xfId="0" applyFont="1"/>
    <xf numFmtId="0" fontId="0" fillId="3" borderId="0" xfId="0" applyFill="1"/>
    <xf numFmtId="2" fontId="0" fillId="4" borderId="0" xfId="0" applyNumberFormat="1" applyFill="1"/>
    <xf numFmtId="0" fontId="0" fillId="4" borderId="0" xfId="0" applyFill="1"/>
    <xf numFmtId="167" fontId="0" fillId="4" borderId="0" xfId="0" applyNumberFormat="1" applyFill="1"/>
    <xf numFmtId="165" fontId="0" fillId="4" borderId="0" xfId="0" applyNumberFormat="1" applyFill="1"/>
    <xf numFmtId="164" fontId="0" fillId="4" borderId="0" xfId="0" applyNumberFormat="1" applyFill="1"/>
    <xf numFmtId="1" fontId="0" fillId="4" borderId="0" xfId="0" applyNumberFormat="1" applyFill="1"/>
    <xf numFmtId="166" fontId="0" fillId="4" borderId="0" xfId="0" applyNumberFormat="1" applyFill="1"/>
    <xf numFmtId="0" fontId="0" fillId="2" borderId="1" xfId="0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2" fontId="0" fillId="5" borderId="0" xfId="0" applyNumberFormat="1" applyFill="1"/>
    <xf numFmtId="166" fontId="0" fillId="5" borderId="0" xfId="0" applyNumberFormat="1" applyFill="1"/>
    <xf numFmtId="165" fontId="0" fillId="5" borderId="0" xfId="0" applyNumberFormat="1" applyFill="1"/>
    <xf numFmtId="0" fontId="0" fillId="5" borderId="4" xfId="0" applyFill="1" applyBorder="1"/>
    <xf numFmtId="2" fontId="0" fillId="5" borderId="4" xfId="0" applyNumberFormat="1" applyFill="1" applyBorder="1"/>
    <xf numFmtId="1" fontId="0" fillId="5" borderId="4" xfId="0" applyNumberFormat="1" applyFill="1" applyBorder="1"/>
    <xf numFmtId="0" fontId="0" fillId="5" borderId="4" xfId="0" applyFill="1" applyBorder="1" applyAlignment="1">
      <alignment horizontal="right"/>
    </xf>
    <xf numFmtId="165" fontId="0" fillId="5" borderId="4" xfId="0" applyNumberFormat="1" applyFill="1" applyBorder="1"/>
    <xf numFmtId="2" fontId="1" fillId="5" borderId="4" xfId="0" applyNumberFormat="1" applyFont="1" applyFill="1" applyBorder="1"/>
    <xf numFmtId="166" fontId="0" fillId="5" borderId="5" xfId="0" applyNumberFormat="1" applyFill="1" applyBorder="1"/>
    <xf numFmtId="0" fontId="0" fillId="5" borderId="6" xfId="0" applyFill="1" applyBorder="1"/>
    <xf numFmtId="2" fontId="0" fillId="5" borderId="6" xfId="0" applyNumberFormat="1" applyFill="1" applyBorder="1"/>
    <xf numFmtId="1" fontId="0" fillId="5" borderId="6" xfId="0" applyNumberFormat="1" applyFill="1" applyBorder="1"/>
    <xf numFmtId="0" fontId="0" fillId="5" borderId="6" xfId="0" applyFill="1" applyBorder="1" applyAlignment="1">
      <alignment horizontal="right"/>
    </xf>
    <xf numFmtId="165" fontId="0" fillId="5" borderId="6" xfId="0" applyNumberFormat="1" applyFill="1" applyBorder="1"/>
    <xf numFmtId="165" fontId="0" fillId="5" borderId="5" xfId="0" applyNumberFormat="1" applyFill="1" applyBorder="1"/>
    <xf numFmtId="0" fontId="0" fillId="0" borderId="0" xfId="0" applyFill="1" applyBorder="1" applyAlignment="1" applyProtection="1">
      <alignment horizontal="left"/>
      <protection locked="0"/>
    </xf>
    <xf numFmtId="0" fontId="1" fillId="3" borderId="0" xfId="0" applyFont="1" applyFill="1"/>
    <xf numFmtId="0" fontId="4" fillId="3" borderId="0" xfId="0" quotePrefix="1" applyFont="1" applyFill="1"/>
    <xf numFmtId="0" fontId="5" fillId="0" borderId="0" xfId="0" applyFont="1" applyFill="1"/>
    <xf numFmtId="0" fontId="5" fillId="0" borderId="0" xfId="0" applyFont="1"/>
    <xf numFmtId="2" fontId="1" fillId="0" borderId="0" xfId="0" applyNumberFormat="1" applyFont="1" applyAlignment="1">
      <alignment horizontal="center"/>
    </xf>
    <xf numFmtId="2" fontId="0" fillId="2" borderId="1" xfId="0" applyNumberFormat="1" applyFill="1" applyBorder="1" applyProtection="1">
      <protection locked="0"/>
    </xf>
    <xf numFmtId="167" fontId="0" fillId="2" borderId="1" xfId="0" applyNumberFormat="1" applyFill="1" applyBorder="1" applyProtection="1">
      <protection locked="0"/>
    </xf>
    <xf numFmtId="0" fontId="6" fillId="0" borderId="0" xfId="0" applyFont="1"/>
    <xf numFmtId="166" fontId="0" fillId="5" borderId="4" xfId="0" applyNumberFormat="1" applyFill="1" applyBorder="1"/>
    <xf numFmtId="166" fontId="0" fillId="5" borderId="6" xfId="0" applyNumberFormat="1" applyFill="1" applyBorder="1"/>
    <xf numFmtId="2" fontId="0" fillId="5" borderId="4" xfId="0" applyNumberFormat="1" applyFill="1" applyBorder="1" applyAlignment="1">
      <alignment horizontal="right"/>
    </xf>
    <xf numFmtId="2" fontId="0" fillId="5" borderId="6" xfId="0" applyNumberFormat="1" applyFill="1" applyBorder="1" applyAlignment="1">
      <alignment horizontal="right"/>
    </xf>
    <xf numFmtId="0" fontId="5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/>
    <xf numFmtId="0" fontId="4" fillId="0" borderId="0" xfId="0" quotePrefix="1" applyFont="1" applyFill="1" applyBorder="1"/>
    <xf numFmtId="0" fontId="4" fillId="0" borderId="0" xfId="0" applyFont="1" applyFill="1" applyBorder="1"/>
    <xf numFmtId="166" fontId="0" fillId="4" borderId="0" xfId="0" applyNumberFormat="1" applyFill="1" applyBorder="1"/>
    <xf numFmtId="0" fontId="0" fillId="4" borderId="0" xfId="0" applyFill="1" applyBorder="1"/>
    <xf numFmtId="2" fontId="0" fillId="4" borderId="0" xfId="0" applyNumberFormat="1" applyFill="1" applyBorder="1"/>
    <xf numFmtId="1" fontId="0" fillId="4" borderId="0" xfId="0" applyNumberFormat="1" applyFill="1" applyBorder="1"/>
    <xf numFmtId="0" fontId="0" fillId="4" borderId="0" xfId="0" applyFill="1" applyBorder="1" applyAlignment="1">
      <alignment horizontal="right"/>
    </xf>
    <xf numFmtId="165" fontId="0" fillId="4" borderId="0" xfId="0" applyNumberFormat="1" applyFill="1" applyBorder="1"/>
    <xf numFmtId="2" fontId="1" fillId="4" borderId="0" xfId="0" applyNumberFormat="1" applyFont="1" applyFill="1" applyBorder="1"/>
    <xf numFmtId="0" fontId="0" fillId="4" borderId="0" xfId="0" applyFill="1" applyBorder="1" applyProtection="1"/>
    <xf numFmtId="2" fontId="0" fillId="4" borderId="0" xfId="0" applyNumberFormat="1" applyFill="1" applyBorder="1" applyProtection="1"/>
    <xf numFmtId="166" fontId="0" fillId="4" borderId="0" xfId="0" applyNumberFormat="1" applyFill="1" applyBorder="1" applyProtection="1"/>
    <xf numFmtId="1" fontId="1" fillId="0" borderId="0" xfId="0" applyNumberFormat="1" applyFont="1" applyAlignment="1">
      <alignment horizontal="center"/>
    </xf>
    <xf numFmtId="165" fontId="0" fillId="0" borderId="0" xfId="0" applyNumberFormat="1" applyFont="1"/>
    <xf numFmtId="1" fontId="1" fillId="0" borderId="0" xfId="0" applyNumberFormat="1" applyFont="1" applyBorder="1" applyAlignment="1">
      <alignment horizontal="center" wrapText="1"/>
    </xf>
    <xf numFmtId="165" fontId="2" fillId="0" borderId="0" xfId="0" applyNumberFormat="1" applyFont="1" applyAlignment="1" applyProtection="1">
      <alignment vertical="center"/>
    </xf>
    <xf numFmtId="1" fontId="1" fillId="0" borderId="0" xfId="0" applyNumberFormat="1" applyFont="1" applyAlignment="1">
      <alignment horizontal="center" wrapText="1"/>
    </xf>
    <xf numFmtId="165" fontId="0" fillId="0" borderId="0" xfId="0" applyNumberFormat="1" applyAlignment="1">
      <alignment wrapText="1"/>
    </xf>
    <xf numFmtId="1" fontId="0" fillId="0" borderId="0" xfId="0" applyNumberFormat="1" applyProtection="1"/>
    <xf numFmtId="165" fontId="0" fillId="0" borderId="0" xfId="0" applyNumberFormat="1" applyProtection="1"/>
    <xf numFmtId="165" fontId="4" fillId="0" borderId="0" xfId="0" applyNumberFormat="1" applyFont="1" applyBorder="1" applyProtection="1"/>
    <xf numFmtId="165" fontId="0" fillId="0" borderId="0" xfId="0" applyNumberFormat="1" applyFont="1" applyProtection="1"/>
    <xf numFmtId="1" fontId="1" fillId="0" borderId="0" xfId="0" applyNumberFormat="1" applyFont="1" applyAlignment="1" applyProtection="1">
      <alignment horizontal="center"/>
    </xf>
    <xf numFmtId="165" fontId="3" fillId="0" borderId="0" xfId="0" applyNumberFormat="1" applyFont="1" applyProtection="1"/>
    <xf numFmtId="165" fontId="8" fillId="0" borderId="0" xfId="0" applyNumberFormat="1" applyFont="1" applyAlignment="1">
      <alignment horizontal="right" wrapText="1"/>
    </xf>
    <xf numFmtId="165" fontId="4" fillId="2" borderId="1" xfId="0" applyNumberFormat="1" applyFont="1" applyFill="1" applyBorder="1" applyAlignment="1" applyProtection="1">
      <protection locked="0"/>
    </xf>
    <xf numFmtId="165" fontId="0" fillId="0" borderId="0" xfId="0" applyNumberFormat="1" applyFill="1"/>
    <xf numFmtId="1" fontId="0" fillId="0" borderId="0" xfId="0" applyNumberFormat="1" applyFill="1"/>
    <xf numFmtId="165" fontId="0" fillId="0" borderId="0" xfId="0" applyNumberFormat="1" applyFill="1" applyAlignment="1">
      <alignment wrapText="1"/>
    </xf>
    <xf numFmtId="165" fontId="0" fillId="0" borderId="0" xfId="0" applyNumberFormat="1" applyFill="1" applyAlignment="1"/>
    <xf numFmtId="1" fontId="0" fillId="0" borderId="0" xfId="0" applyNumberFormat="1" applyFill="1" applyAlignment="1">
      <alignment wrapText="1"/>
    </xf>
    <xf numFmtId="165" fontId="0" fillId="0" borderId="0" xfId="0" applyNumberFormat="1" applyFill="1" applyProtection="1"/>
    <xf numFmtId="1" fontId="0" fillId="0" borderId="0" xfId="0" applyNumberFormat="1" applyFill="1" applyProtection="1"/>
    <xf numFmtId="2" fontId="0" fillId="0" borderId="0" xfId="0" applyNumberFormat="1" applyFill="1" applyProtection="1"/>
    <xf numFmtId="164" fontId="0" fillId="0" borderId="0" xfId="0" applyNumberFormat="1" applyFill="1" applyProtection="1"/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165" fontId="2" fillId="0" borderId="0" xfId="0" applyNumberFormat="1" applyFont="1" applyAlignment="1" applyProtection="1">
      <alignment horizontal="center" vertical="center"/>
    </xf>
    <xf numFmtId="165" fontId="4" fillId="2" borderId="9" xfId="0" applyNumberFormat="1" applyFont="1" applyFill="1" applyBorder="1" applyAlignment="1" applyProtection="1">
      <alignment horizontal="left"/>
      <protection locked="0"/>
    </xf>
    <xf numFmtId="165" fontId="4" fillId="2" borderId="10" xfId="0" applyNumberFormat="1" applyFont="1" applyFill="1" applyBorder="1" applyAlignment="1" applyProtection="1">
      <alignment horizontal="left"/>
      <protection locked="0"/>
    </xf>
    <xf numFmtId="168" fontId="4" fillId="2" borderId="10" xfId="0" applyNumberFormat="1" applyFont="1" applyFill="1" applyBorder="1" applyAlignment="1" applyProtection="1">
      <alignment horizontal="left"/>
      <protection locked="0"/>
    </xf>
    <xf numFmtId="165" fontId="4" fillId="2" borderId="11" xfId="0" applyNumberFormat="1" applyFont="1" applyFill="1" applyBorder="1" applyAlignment="1" applyProtection="1">
      <alignment horizontal="left"/>
      <protection locked="0"/>
    </xf>
    <xf numFmtId="165" fontId="4" fillId="2" borderId="12" xfId="0" applyNumberFormat="1" applyFont="1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4" borderId="0" xfId="0" applyFill="1" applyBorder="1" applyAlignment="1" applyProtection="1">
      <alignment horizontal="left"/>
    </xf>
    <xf numFmtId="165" fontId="7" fillId="0" borderId="0" xfId="1" applyNumberFormat="1" applyProtection="1"/>
    <xf numFmtId="168" fontId="4" fillId="2" borderId="9" xfId="0" quotePrefix="1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eguid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he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9"/>
  <sheetViews>
    <sheetView zoomScaleNormal="100" zoomScaleSheetLayoutView="100" workbookViewId="0"/>
  </sheetViews>
  <sheetFormatPr defaultRowHeight="15" x14ac:dyDescent="0.25"/>
  <cols>
    <col min="1" max="1" width="2.7109375" style="1" customWidth="1"/>
    <col min="2" max="2" width="10.85546875" customWidth="1"/>
    <col min="3" max="3" width="12.85546875" customWidth="1"/>
    <col min="4" max="4" width="13.140625" customWidth="1"/>
    <col min="5" max="5" width="12.28515625" customWidth="1"/>
    <col min="6" max="6" width="11.7109375" customWidth="1"/>
    <col min="9" max="9" width="6.42578125" customWidth="1"/>
    <col min="10" max="10" width="7.28515625" customWidth="1"/>
  </cols>
  <sheetData>
    <row r="1" spans="1:20" s="3" customFormat="1" x14ac:dyDescent="0.25">
      <c r="A1" s="63"/>
      <c r="I1" s="64"/>
      <c r="J1" s="63"/>
      <c r="L1" s="77"/>
      <c r="M1" s="77"/>
      <c r="N1" s="77"/>
      <c r="O1" s="77"/>
      <c r="P1" s="77"/>
      <c r="Q1" s="77"/>
      <c r="R1" s="78"/>
      <c r="S1" s="77"/>
      <c r="T1" s="77"/>
    </row>
    <row r="2" spans="1:20" s="68" customFormat="1" ht="19.5" customHeight="1" x14ac:dyDescent="0.25">
      <c r="A2" s="65"/>
      <c r="B2" s="88" t="s">
        <v>134</v>
      </c>
      <c r="C2" s="88"/>
      <c r="D2" s="88"/>
      <c r="E2" s="88"/>
      <c r="F2" s="88"/>
      <c r="G2" s="88"/>
      <c r="H2" s="88"/>
      <c r="I2" s="66"/>
      <c r="J2" s="67"/>
      <c r="L2" s="79"/>
      <c r="M2" s="79"/>
      <c r="N2" s="80"/>
      <c r="O2" s="79"/>
      <c r="P2" s="79"/>
      <c r="Q2" s="79"/>
      <c r="R2" s="81"/>
      <c r="S2" s="79"/>
      <c r="T2" s="79"/>
    </row>
    <row r="3" spans="1:20" s="70" customFormat="1" x14ac:dyDescent="0.25">
      <c r="A3" s="69"/>
      <c r="B3" s="97" t="s">
        <v>135</v>
      </c>
      <c r="F3" s="71" t="s">
        <v>0</v>
      </c>
      <c r="G3" s="89" t="s">
        <v>130</v>
      </c>
      <c r="H3" s="90"/>
      <c r="I3" s="72"/>
      <c r="J3" s="73"/>
      <c r="L3" s="82"/>
      <c r="M3" s="83"/>
      <c r="N3" s="82"/>
      <c r="O3" s="82"/>
      <c r="P3" s="82"/>
      <c r="Q3" s="82"/>
      <c r="R3" s="83"/>
      <c r="S3" s="82"/>
      <c r="T3" s="82"/>
    </row>
    <row r="4" spans="1:20" s="70" customFormat="1" x14ac:dyDescent="0.25">
      <c r="A4" s="69"/>
      <c r="B4" s="74" t="s">
        <v>136</v>
      </c>
      <c r="F4" s="71" t="s">
        <v>131</v>
      </c>
      <c r="G4" s="89" t="s">
        <v>132</v>
      </c>
      <c r="H4" s="90"/>
      <c r="I4" s="72"/>
      <c r="J4" s="73"/>
      <c r="L4" s="82"/>
      <c r="M4" s="83"/>
      <c r="N4" s="82"/>
      <c r="O4" s="82"/>
      <c r="P4" s="82"/>
      <c r="Q4" s="82"/>
      <c r="R4" s="84"/>
      <c r="S4" s="82"/>
      <c r="T4" s="82"/>
    </row>
    <row r="5" spans="1:20" s="70" customFormat="1" x14ac:dyDescent="0.25">
      <c r="A5" s="69"/>
      <c r="F5" s="71" t="s">
        <v>1</v>
      </c>
      <c r="G5" s="98" t="s">
        <v>138</v>
      </c>
      <c r="H5" s="91"/>
      <c r="I5" s="72"/>
      <c r="J5" s="73"/>
      <c r="L5" s="82"/>
      <c r="M5" s="83"/>
      <c r="N5" s="82"/>
      <c r="O5" s="82"/>
      <c r="P5" s="82"/>
      <c r="Q5" s="82"/>
      <c r="R5" s="85"/>
      <c r="S5" s="82"/>
      <c r="T5" s="82"/>
    </row>
    <row r="6" spans="1:20" s="70" customFormat="1" x14ac:dyDescent="0.25">
      <c r="A6" s="69"/>
      <c r="B6" s="75" t="s">
        <v>133</v>
      </c>
      <c r="C6" s="76"/>
      <c r="D6" s="68"/>
      <c r="E6" s="68"/>
      <c r="F6" s="71" t="s">
        <v>2</v>
      </c>
      <c r="G6" s="92" t="s">
        <v>137</v>
      </c>
      <c r="H6" s="93"/>
      <c r="I6" s="72"/>
      <c r="J6" s="73"/>
      <c r="L6" s="82"/>
      <c r="M6" s="83"/>
      <c r="N6" s="82"/>
      <c r="O6" s="82"/>
      <c r="P6" s="82"/>
      <c r="Q6" s="82"/>
      <c r="R6" s="83"/>
      <c r="S6" s="82"/>
      <c r="T6" s="82"/>
    </row>
    <row r="7" spans="1:20" x14ac:dyDescent="0.25">
      <c r="B7" s="35" t="s">
        <v>3</v>
      </c>
      <c r="C7" s="35"/>
      <c r="D7" s="35"/>
    </row>
    <row r="8" spans="1:20" x14ac:dyDescent="0.25">
      <c r="B8" t="s">
        <v>7</v>
      </c>
      <c r="E8" s="86" t="s">
        <v>5</v>
      </c>
      <c r="F8" s="87"/>
    </row>
    <row r="9" spans="1:20" x14ac:dyDescent="0.25">
      <c r="B9" t="s">
        <v>6</v>
      </c>
      <c r="E9" s="86" t="s">
        <v>8</v>
      </c>
      <c r="F9" s="87"/>
    </row>
    <row r="10" spans="1:20" x14ac:dyDescent="0.25">
      <c r="E10" s="86" t="s">
        <v>105</v>
      </c>
      <c r="F10" s="87"/>
    </row>
    <row r="11" spans="1:20" x14ac:dyDescent="0.25">
      <c r="B11" t="s">
        <v>80</v>
      </c>
      <c r="D11" s="38" t="s">
        <v>81</v>
      </c>
      <c r="E11" s="86">
        <v>20</v>
      </c>
      <c r="F11" s="87"/>
    </row>
    <row r="12" spans="1:20" x14ac:dyDescent="0.25">
      <c r="E12" s="34"/>
      <c r="F12" s="34"/>
    </row>
    <row r="13" spans="1:20" x14ac:dyDescent="0.25">
      <c r="B13" s="2" t="s">
        <v>4</v>
      </c>
      <c r="F13" s="2" t="s">
        <v>5</v>
      </c>
    </row>
    <row r="14" spans="1:20" x14ac:dyDescent="0.25">
      <c r="B14" t="s">
        <v>15</v>
      </c>
      <c r="D14" s="16">
        <v>2.0670000000000002</v>
      </c>
      <c r="E14" s="37" t="s">
        <v>16</v>
      </c>
      <c r="F14" t="s">
        <v>15</v>
      </c>
      <c r="H14" s="16">
        <v>3.0680000000000001</v>
      </c>
      <c r="I14" s="38" t="s">
        <v>16</v>
      </c>
    </row>
    <row r="15" spans="1:20" x14ac:dyDescent="0.25">
      <c r="B15" t="s">
        <v>17</v>
      </c>
      <c r="D15" s="16">
        <v>2.375</v>
      </c>
      <c r="E15" s="38" t="s">
        <v>16</v>
      </c>
    </row>
    <row r="17" spans="2:6" x14ac:dyDescent="0.25">
      <c r="B17" s="35" t="s">
        <v>25</v>
      </c>
      <c r="C17" s="8"/>
      <c r="D17" s="8"/>
      <c r="E17" s="1" t="s">
        <v>20</v>
      </c>
      <c r="F17" s="1" t="s">
        <v>21</v>
      </c>
    </row>
    <row r="18" spans="2:6" x14ac:dyDescent="0.25">
      <c r="B18" t="s">
        <v>18</v>
      </c>
      <c r="D18" s="38" t="s">
        <v>19</v>
      </c>
      <c r="E18" s="16">
        <v>9692.31</v>
      </c>
      <c r="F18" s="17">
        <v>10000</v>
      </c>
    </row>
    <row r="19" spans="2:6" x14ac:dyDescent="0.25">
      <c r="B19" t="s">
        <v>22</v>
      </c>
      <c r="D19" s="38" t="s">
        <v>110</v>
      </c>
      <c r="E19" s="17">
        <v>150</v>
      </c>
      <c r="F19" s="17">
        <v>60</v>
      </c>
    </row>
    <row r="20" spans="2:6" x14ac:dyDescent="0.25">
      <c r="B20" t="s">
        <v>23</v>
      </c>
      <c r="D20" s="38" t="s">
        <v>110</v>
      </c>
      <c r="E20" s="17">
        <v>130</v>
      </c>
      <c r="F20" s="5">
        <f>F19+E18*E26*(E19-E20)/(F18*F26)</f>
        <v>84.00000571428572</v>
      </c>
    </row>
    <row r="21" spans="2:6" x14ac:dyDescent="0.25">
      <c r="B21" t="s">
        <v>24</v>
      </c>
      <c r="D21" s="38" t="s">
        <v>111</v>
      </c>
      <c r="E21" s="16">
        <v>1E-3</v>
      </c>
      <c r="F21" s="16">
        <v>1E-3</v>
      </c>
    </row>
    <row r="23" spans="2:6" x14ac:dyDescent="0.25">
      <c r="B23" s="35" t="s">
        <v>26</v>
      </c>
      <c r="C23" s="36" t="s">
        <v>109</v>
      </c>
      <c r="D23" s="8"/>
    </row>
    <row r="24" spans="2:6" x14ac:dyDescent="0.25">
      <c r="B24" t="s">
        <v>27</v>
      </c>
      <c r="D24" s="38" t="s">
        <v>112</v>
      </c>
      <c r="E24" s="16">
        <v>48.4</v>
      </c>
      <c r="F24" s="16">
        <v>47.5</v>
      </c>
    </row>
    <row r="25" spans="2:6" x14ac:dyDescent="0.25">
      <c r="B25" t="s">
        <v>28</v>
      </c>
      <c r="D25" s="38" t="s">
        <v>29</v>
      </c>
      <c r="E25" s="16">
        <v>2</v>
      </c>
      <c r="F25" s="16">
        <v>0.55000000000000004</v>
      </c>
    </row>
    <row r="26" spans="2:6" x14ac:dyDescent="0.25">
      <c r="B26" t="s">
        <v>30</v>
      </c>
      <c r="D26" s="38" t="s">
        <v>113</v>
      </c>
      <c r="E26" s="16">
        <v>0.52</v>
      </c>
      <c r="F26" s="16">
        <v>0.42</v>
      </c>
    </row>
    <row r="27" spans="2:6" x14ac:dyDescent="0.25">
      <c r="B27" t="s">
        <v>31</v>
      </c>
      <c r="D27" s="38" t="s">
        <v>114</v>
      </c>
      <c r="E27" s="16">
        <v>0.1</v>
      </c>
      <c r="F27" s="16">
        <v>9.1999999999999998E-2</v>
      </c>
    </row>
    <row r="28" spans="2:6" x14ac:dyDescent="0.25">
      <c r="B28" t="s">
        <v>32</v>
      </c>
      <c r="D28" s="38" t="s">
        <v>29</v>
      </c>
      <c r="E28" s="16">
        <v>2</v>
      </c>
      <c r="F28" s="16">
        <v>0.55000000000000004</v>
      </c>
    </row>
    <row r="30" spans="2:6" x14ac:dyDescent="0.25">
      <c r="B30" s="35" t="s">
        <v>33</v>
      </c>
      <c r="C30" s="8"/>
      <c r="D30" s="8"/>
      <c r="E30" s="1" t="s">
        <v>20</v>
      </c>
      <c r="F30" s="1" t="s">
        <v>21</v>
      </c>
    </row>
    <row r="31" spans="2:6" x14ac:dyDescent="0.25">
      <c r="B31" t="s">
        <v>34</v>
      </c>
      <c r="D31" s="38" t="s">
        <v>110</v>
      </c>
      <c r="E31" s="19">
        <f>(E19+E20)/2</f>
        <v>140</v>
      </c>
      <c r="F31" s="27">
        <f>(F19+F20)/2</f>
        <v>72.00000285714286</v>
      </c>
    </row>
    <row r="32" spans="2:6" x14ac:dyDescent="0.25">
      <c r="B32" t="s">
        <v>44</v>
      </c>
      <c r="D32" s="38" t="s">
        <v>16</v>
      </c>
      <c r="E32" s="21">
        <f>D76</f>
        <v>0.69300000000000006</v>
      </c>
      <c r="F32" s="28">
        <f>E76</f>
        <v>2.0670000000000002</v>
      </c>
    </row>
    <row r="33" spans="2:6" x14ac:dyDescent="0.25">
      <c r="B33" t="s">
        <v>42</v>
      </c>
      <c r="D33" s="38" t="s">
        <v>45</v>
      </c>
      <c r="E33" s="22">
        <f>D79</f>
        <v>2.7038368061038263</v>
      </c>
      <c r="F33" s="29">
        <f>E79</f>
        <v>2.5095482326162619</v>
      </c>
    </row>
    <row r="34" spans="2:6" x14ac:dyDescent="0.25">
      <c r="B34" t="s">
        <v>46</v>
      </c>
      <c r="D34" s="38" t="s">
        <v>40</v>
      </c>
      <c r="E34" s="22">
        <f>D78</f>
        <v>25.158518319999999</v>
      </c>
      <c r="F34" s="29">
        <f>E78</f>
        <v>6.0740151880434787</v>
      </c>
    </row>
    <row r="35" spans="2:6" x14ac:dyDescent="0.25">
      <c r="B35" t="s">
        <v>47</v>
      </c>
      <c r="D35" s="38" t="s">
        <v>41</v>
      </c>
      <c r="E35" s="23">
        <f>D80</f>
        <v>5623.3952527212214</v>
      </c>
      <c r="F35" s="30">
        <f>E80</f>
        <v>55556.704643761754</v>
      </c>
    </row>
    <row r="36" spans="2:6" x14ac:dyDescent="0.25">
      <c r="B36" t="s">
        <v>77</v>
      </c>
      <c r="E36" s="24" t="str">
        <f>IF(E35&lt;=2300, "Laminar",IF(E35&lt;=10000,"Transient","Turbulent"))</f>
        <v>Transient</v>
      </c>
      <c r="F36" s="31" t="str">
        <f>IF(F35&lt;=2300, "Laminar",IF(F35&lt;=10000,"Transient","Turbulent"))</f>
        <v>Turbulent</v>
      </c>
    </row>
    <row r="37" spans="2:6" x14ac:dyDescent="0.25">
      <c r="B37" t="s">
        <v>78</v>
      </c>
      <c r="E37" s="24" t="str">
        <f>IF(E35&lt;=2300, "Sieder-Tate","Gnienlinski")</f>
        <v>Gnienlinski</v>
      </c>
      <c r="F37" s="31" t="str">
        <f>IF(F35&lt;=2300, "Sieder-Tate","Gnienlinski")</f>
        <v>Gnienlinski</v>
      </c>
    </row>
    <row r="38" spans="2:6" x14ac:dyDescent="0.25">
      <c r="B38" t="s">
        <v>79</v>
      </c>
      <c r="D38" s="38" t="s">
        <v>115</v>
      </c>
      <c r="E38" s="22">
        <f>AA97</f>
        <v>123.73883587775553</v>
      </c>
      <c r="F38" s="29">
        <f>AB97</f>
        <v>184.55589087103664</v>
      </c>
    </row>
    <row r="39" spans="2:6" x14ac:dyDescent="0.25">
      <c r="B39" t="s">
        <v>108</v>
      </c>
      <c r="D39" s="38" t="s">
        <v>93</v>
      </c>
      <c r="E39" s="25">
        <f>D125</f>
        <v>1.31788408398242</v>
      </c>
      <c r="F39" s="32">
        <f>E125</f>
        <v>0.21987002177121531</v>
      </c>
    </row>
    <row r="40" spans="2:6" x14ac:dyDescent="0.25">
      <c r="B40" t="s">
        <v>97</v>
      </c>
      <c r="D40" s="38" t="s">
        <v>93</v>
      </c>
      <c r="E40" s="20">
        <f>D129</f>
        <v>1.3636903226899082</v>
      </c>
      <c r="F40" s="33">
        <f>E129</f>
        <v>0.2585960558154099</v>
      </c>
    </row>
    <row r="41" spans="2:6" x14ac:dyDescent="0.25">
      <c r="B41" s="7" t="s">
        <v>107</v>
      </c>
    </row>
    <row r="42" spans="2:6" x14ac:dyDescent="0.25">
      <c r="B42" s="7"/>
    </row>
    <row r="43" spans="2:6" x14ac:dyDescent="0.25">
      <c r="B43" s="35" t="s">
        <v>98</v>
      </c>
      <c r="C43" s="8"/>
      <c r="D43" s="8"/>
    </row>
    <row r="44" spans="2:6" x14ac:dyDescent="0.25">
      <c r="B44" t="s">
        <v>69</v>
      </c>
      <c r="D44" s="38" t="s">
        <v>110</v>
      </c>
      <c r="E44" s="18">
        <f>G56</f>
        <v>67.980384717649301</v>
      </c>
    </row>
    <row r="45" spans="2:6" x14ac:dyDescent="0.25">
      <c r="B45" t="s">
        <v>102</v>
      </c>
      <c r="D45" s="38" t="s">
        <v>110</v>
      </c>
      <c r="E45" s="22">
        <f>C63</f>
        <v>101.59002444228324</v>
      </c>
    </row>
    <row r="46" spans="2:6" x14ac:dyDescent="0.25">
      <c r="B46" t="s">
        <v>103</v>
      </c>
      <c r="D46" s="38" t="s">
        <v>115</v>
      </c>
      <c r="E46" s="22">
        <f>AA101</f>
        <v>58.875447512007675</v>
      </c>
    </row>
    <row r="47" spans="2:6" x14ac:dyDescent="0.25">
      <c r="B47" s="2" t="s">
        <v>72</v>
      </c>
      <c r="D47" s="38" t="s">
        <v>117</v>
      </c>
      <c r="E47" s="26">
        <f>D106</f>
        <v>25.18504877400223</v>
      </c>
    </row>
    <row r="48" spans="2:6" x14ac:dyDescent="0.25">
      <c r="B48" s="2" t="s">
        <v>53</v>
      </c>
      <c r="D48" s="38" t="s">
        <v>81</v>
      </c>
      <c r="E48" s="26">
        <f>D105</f>
        <v>40.505178991760168</v>
      </c>
    </row>
    <row r="49" spans="2:7" x14ac:dyDescent="0.25">
      <c r="B49" t="s">
        <v>104</v>
      </c>
      <c r="E49" s="22">
        <f>D108</f>
        <v>1.0126294747940041</v>
      </c>
    </row>
    <row r="50" spans="2:7" x14ac:dyDescent="0.25">
      <c r="B50" t="s">
        <v>84</v>
      </c>
      <c r="E50" s="18">
        <f>D109</f>
        <v>1</v>
      </c>
    </row>
    <row r="53" spans="2:7" x14ac:dyDescent="0.25">
      <c r="B53" t="s">
        <v>65</v>
      </c>
      <c r="C53" s="9">
        <f>F19</f>
        <v>60</v>
      </c>
      <c r="D53" s="9">
        <f>C53</f>
        <v>60</v>
      </c>
      <c r="F53" t="s">
        <v>69</v>
      </c>
    </row>
    <row r="54" spans="2:7" x14ac:dyDescent="0.25">
      <c r="B54" t="s">
        <v>66</v>
      </c>
      <c r="C54" s="9">
        <f>F20</f>
        <v>84.00000571428572</v>
      </c>
      <c r="D54" s="9">
        <f>IF(C54=C53,C54+0.000002,C54)</f>
        <v>84.00000571428572</v>
      </c>
      <c r="F54" t="s">
        <v>70</v>
      </c>
      <c r="G54" s="10">
        <f>((D55-D54)-(D56-D53))/LN((D55-D54)/(D56-D53))</f>
        <v>67.980384717649301</v>
      </c>
    </row>
    <row r="55" spans="2:7" x14ac:dyDescent="0.25">
      <c r="B55" t="s">
        <v>67</v>
      </c>
      <c r="C55" s="9">
        <f>E19</f>
        <v>150</v>
      </c>
      <c r="D55" s="9">
        <f>IF(OR((C55=C56),((C55-C54)=(C56-C53))),C55+0.000001,C55)</f>
        <v>150</v>
      </c>
      <c r="F55" t="s">
        <v>71</v>
      </c>
      <c r="G55" s="10">
        <f>((D55-D53)-(D56-D54))/LN((D55-D53)/(D56-D54))</f>
        <v>65.557326359753446</v>
      </c>
    </row>
    <row r="56" spans="2:7" x14ac:dyDescent="0.25">
      <c r="B56" t="s">
        <v>68</v>
      </c>
      <c r="C56" s="9">
        <f>E20</f>
        <v>130</v>
      </c>
      <c r="D56" s="9">
        <f>C56</f>
        <v>130</v>
      </c>
      <c r="F56" t="s">
        <v>14</v>
      </c>
      <c r="G56" s="10">
        <f>IF(E10="Counter-current",G54,G55)</f>
        <v>67.980384717649301</v>
      </c>
    </row>
    <row r="58" spans="2:7" x14ac:dyDescent="0.25">
      <c r="B58" t="s">
        <v>64</v>
      </c>
      <c r="C58" s="10" t="s">
        <v>105</v>
      </c>
      <c r="D58" s="10">
        <v>1</v>
      </c>
    </row>
    <row r="59" spans="2:7" x14ac:dyDescent="0.25">
      <c r="C59" s="10" t="s">
        <v>106</v>
      </c>
      <c r="D59" s="10">
        <v>2</v>
      </c>
    </row>
    <row r="61" spans="2:7" x14ac:dyDescent="0.25">
      <c r="B61" t="s">
        <v>99</v>
      </c>
      <c r="C61" s="9">
        <f>AA100</f>
        <v>184.55589087103664</v>
      </c>
    </row>
    <row r="62" spans="2:7" x14ac:dyDescent="0.25">
      <c r="B62" t="s">
        <v>100</v>
      </c>
      <c r="C62" s="9">
        <f>AB100</f>
        <v>123.73883587775553</v>
      </c>
    </row>
    <row r="63" spans="2:7" x14ac:dyDescent="0.25">
      <c r="B63" t="s">
        <v>101</v>
      </c>
      <c r="C63" s="9">
        <f>(C61*H77+C62*I77*D83)/(C61+C62*D83)</f>
        <v>101.59002444228324</v>
      </c>
    </row>
    <row r="65" spans="2:9" x14ac:dyDescent="0.25">
      <c r="B65" t="s">
        <v>7</v>
      </c>
      <c r="D65" s="10" t="s">
        <v>4</v>
      </c>
      <c r="E65" s="10">
        <v>1</v>
      </c>
      <c r="G65" t="s">
        <v>14</v>
      </c>
      <c r="H65" s="10">
        <f>VLOOKUP(E8,D65:E66,2)</f>
        <v>2</v>
      </c>
    </row>
    <row r="66" spans="2:9" x14ac:dyDescent="0.25">
      <c r="D66" s="10" t="s">
        <v>5</v>
      </c>
      <c r="E66" s="10">
        <v>2</v>
      </c>
    </row>
    <row r="68" spans="2:9" x14ac:dyDescent="0.25">
      <c r="B68" t="s">
        <v>6</v>
      </c>
      <c r="D68" s="10" t="s">
        <v>8</v>
      </c>
      <c r="E68" s="10">
        <v>26</v>
      </c>
      <c r="G68" t="s">
        <v>14</v>
      </c>
      <c r="H68" s="10">
        <f>VLOOKUP(E9,D68:E73,2)</f>
        <v>26</v>
      </c>
    </row>
    <row r="69" spans="2:9" x14ac:dyDescent="0.25">
      <c r="D69" s="10" t="s">
        <v>9</v>
      </c>
      <c r="E69" s="10">
        <v>218</v>
      </c>
    </row>
    <row r="70" spans="2:9" x14ac:dyDescent="0.25">
      <c r="D70" s="10" t="s">
        <v>10</v>
      </c>
      <c r="E70" s="10">
        <v>8.6999999999999993</v>
      </c>
    </row>
    <row r="71" spans="2:9" x14ac:dyDescent="0.25">
      <c r="D71" s="10" t="s">
        <v>11</v>
      </c>
      <c r="E71" s="10">
        <v>14.3</v>
      </c>
    </row>
    <row r="72" spans="2:9" x14ac:dyDescent="0.25">
      <c r="D72" s="10" t="s">
        <v>12</v>
      </c>
      <c r="E72" s="10">
        <v>35</v>
      </c>
    </row>
    <row r="73" spans="2:9" x14ac:dyDescent="0.25">
      <c r="D73" s="10" t="s">
        <v>13</v>
      </c>
      <c r="E73" s="10">
        <v>9.1</v>
      </c>
    </row>
    <row r="75" spans="2:9" x14ac:dyDescent="0.25">
      <c r="B75" t="s">
        <v>33</v>
      </c>
      <c r="D75" t="s">
        <v>36</v>
      </c>
      <c r="E75" t="s">
        <v>37</v>
      </c>
      <c r="H75" t="s">
        <v>49</v>
      </c>
      <c r="I75" t="s">
        <v>50</v>
      </c>
    </row>
    <row r="76" spans="2:9" x14ac:dyDescent="0.25">
      <c r="B76" t="s">
        <v>38</v>
      </c>
      <c r="D76" s="10">
        <f>IF(H65=1,D14,(H14-D15))</f>
        <v>0.69300000000000006</v>
      </c>
      <c r="E76" s="10">
        <f>IF(H65=1,H14-D15,D14)</f>
        <v>2.0670000000000002</v>
      </c>
      <c r="G76" t="s">
        <v>51</v>
      </c>
      <c r="H76" s="10">
        <f>IF(H65=1,$E$21,$F$21)</f>
        <v>1E-3</v>
      </c>
      <c r="I76" s="10">
        <f>IF(H65=2,$E$21,$F$21)</f>
        <v>1E-3</v>
      </c>
    </row>
    <row r="77" spans="2:9" x14ac:dyDescent="0.25">
      <c r="B77" t="s">
        <v>39</v>
      </c>
      <c r="D77" s="13">
        <f>IF(H65=1,PI()*($D$14^2)/(4*12*12),PI()*($H$14^2-$D$15^2)/(4*12*12))</f>
        <v>2.0573063103729253E-2</v>
      </c>
      <c r="E77" s="13">
        <f>IF(H65=2,PI()*($D$14^2)/(4*12*12),PI()*($H$14^2-$D$15^2)/(4*12*12))</f>
        <v>2.3302812595387509E-2</v>
      </c>
      <c r="G77" t="s">
        <v>52</v>
      </c>
      <c r="H77" s="10">
        <f>IF(H65=1,$E$31,$F$31)</f>
        <v>72.00000285714286</v>
      </c>
      <c r="I77" s="10">
        <f>IF(H65=2,$E$31,$F$31)</f>
        <v>140</v>
      </c>
    </row>
    <row r="78" spans="2:9" x14ac:dyDescent="0.25">
      <c r="B78" t="s">
        <v>40</v>
      </c>
      <c r="D78" s="9">
        <f>E26*E25*2.4190883/E27</f>
        <v>25.158518319999999</v>
      </c>
      <c r="E78" s="9">
        <f>F26*F25*2.4190883/F27</f>
        <v>6.0740151880434787</v>
      </c>
    </row>
    <row r="79" spans="2:9" x14ac:dyDescent="0.25">
      <c r="B79" t="s">
        <v>42</v>
      </c>
      <c r="D79" s="9">
        <f>(E18/(3600*E24))/D77</f>
        <v>2.7038368061038263</v>
      </c>
      <c r="E79" s="9">
        <f>(F18/(3600*F24))/E77</f>
        <v>2.5095482326162619</v>
      </c>
    </row>
    <row r="80" spans="2:9" x14ac:dyDescent="0.25">
      <c r="B80" t="s">
        <v>43</v>
      </c>
      <c r="D80" s="14">
        <f>(D76/12)*D79*E24/(E25*2.4190883/3600)</f>
        <v>5623.3952527212214</v>
      </c>
      <c r="E80" s="14">
        <f>(E76/12)*E79*F24/(F25*2.4190883/3600)</f>
        <v>55556.704643761754</v>
      </c>
    </row>
    <row r="81" spans="2:28" x14ac:dyDescent="0.25">
      <c r="B81" t="s">
        <v>59</v>
      </c>
      <c r="D81" s="14">
        <f>(E25/E28)^0.14</f>
        <v>1</v>
      </c>
      <c r="E81" s="14">
        <f>(F25/F28)^0.14</f>
        <v>1</v>
      </c>
    </row>
    <row r="82" spans="2:28" x14ac:dyDescent="0.25">
      <c r="B82" t="s">
        <v>48</v>
      </c>
      <c r="D82" s="11">
        <f>(D15/12)*LN(D15/D14)/2/H68</f>
        <v>5.2866265604016246E-4</v>
      </c>
      <c r="E82" s="10"/>
    </row>
    <row r="83" spans="2:28" x14ac:dyDescent="0.25">
      <c r="B83" t="s">
        <v>62</v>
      </c>
      <c r="D83" s="12">
        <f>D15/D14</f>
        <v>1.1490082244799225</v>
      </c>
      <c r="E83" s="10"/>
    </row>
    <row r="84" spans="2:28" x14ac:dyDescent="0.25">
      <c r="B84" t="s">
        <v>69</v>
      </c>
      <c r="D84" s="12">
        <f>G56</f>
        <v>67.980384717649301</v>
      </c>
      <c r="E84" s="10"/>
    </row>
    <row r="85" spans="2:28" x14ac:dyDescent="0.25">
      <c r="B85" t="s">
        <v>73</v>
      </c>
      <c r="D85" s="15">
        <f>E18*E26*(E19-E20)</f>
        <v>100800.02399999999</v>
      </c>
      <c r="E85" s="10"/>
    </row>
    <row r="86" spans="2:28" x14ac:dyDescent="0.25">
      <c r="B86" t="s">
        <v>74</v>
      </c>
      <c r="D86" s="12">
        <f>D15/12</f>
        <v>0.19791666666666666</v>
      </c>
      <c r="E86" s="10"/>
    </row>
    <row r="87" spans="2:28" x14ac:dyDescent="0.25">
      <c r="D87" s="3"/>
    </row>
    <row r="88" spans="2:28" x14ac:dyDescent="0.25">
      <c r="B88" t="s">
        <v>75</v>
      </c>
      <c r="D88" s="6">
        <v>1</v>
      </c>
      <c r="G88" s="6">
        <v>2</v>
      </c>
      <c r="I88">
        <v>3</v>
      </c>
      <c r="K88">
        <v>4</v>
      </c>
      <c r="M88">
        <v>5</v>
      </c>
      <c r="O88">
        <v>6</v>
      </c>
      <c r="Q88">
        <v>7</v>
      </c>
      <c r="S88">
        <v>8</v>
      </c>
      <c r="U88">
        <v>9</v>
      </c>
      <c r="W88">
        <v>10</v>
      </c>
      <c r="Y88">
        <v>11</v>
      </c>
      <c r="AA88">
        <v>12</v>
      </c>
    </row>
    <row r="89" spans="2:28" x14ac:dyDescent="0.25">
      <c r="C89" t="s">
        <v>20</v>
      </c>
      <c r="D89" t="s">
        <v>21</v>
      </c>
      <c r="E89" t="s">
        <v>20</v>
      </c>
      <c r="F89" t="s">
        <v>21</v>
      </c>
      <c r="G89" t="s">
        <v>20</v>
      </c>
      <c r="H89" t="s">
        <v>21</v>
      </c>
      <c r="I89" t="s">
        <v>20</v>
      </c>
      <c r="J89" t="s">
        <v>21</v>
      </c>
      <c r="K89" t="s">
        <v>20</v>
      </c>
      <c r="L89" t="s">
        <v>21</v>
      </c>
      <c r="M89" t="s">
        <v>20</v>
      </c>
      <c r="N89" t="s">
        <v>21</v>
      </c>
      <c r="O89" t="s">
        <v>20</v>
      </c>
      <c r="P89" t="s">
        <v>21</v>
      </c>
      <c r="Q89" t="s">
        <v>20</v>
      </c>
      <c r="R89" t="s">
        <v>21</v>
      </c>
      <c r="S89" t="s">
        <v>20</v>
      </c>
      <c r="T89" t="s">
        <v>21</v>
      </c>
      <c r="U89" t="s">
        <v>20</v>
      </c>
      <c r="V89" t="s">
        <v>21</v>
      </c>
      <c r="W89" t="s">
        <v>20</v>
      </c>
      <c r="X89" t="s">
        <v>21</v>
      </c>
      <c r="Y89" t="s">
        <v>20</v>
      </c>
      <c r="Z89" t="s">
        <v>21</v>
      </c>
      <c r="AA89" t="s">
        <v>20</v>
      </c>
      <c r="AB89" t="s">
        <v>21</v>
      </c>
    </row>
    <row r="90" spans="2:28" x14ac:dyDescent="0.25">
      <c r="B90" t="s">
        <v>53</v>
      </c>
      <c r="C90" s="10">
        <v>200.05316999999999</v>
      </c>
      <c r="D90" s="10">
        <f>C90</f>
        <v>200.05316999999999</v>
      </c>
      <c r="E90" s="10">
        <f>C103</f>
        <v>40.917483314233131</v>
      </c>
      <c r="F90" s="10">
        <f>E90</f>
        <v>40.917483314233131</v>
      </c>
      <c r="G90" s="10">
        <f>E103</f>
        <v>40.509357079071549</v>
      </c>
      <c r="H90" s="10">
        <f>G90</f>
        <v>40.509357079071549</v>
      </c>
      <c r="I90" s="10">
        <f>G103</f>
        <v>40.505221679860405</v>
      </c>
      <c r="J90" s="10">
        <f>I90</f>
        <v>40.505221679860405</v>
      </c>
      <c r="K90" s="10">
        <f>I103</f>
        <v>40.505179427946942</v>
      </c>
      <c r="L90" s="10">
        <f>K90</f>
        <v>40.505179427946942</v>
      </c>
      <c r="M90" s="10">
        <f>K103</f>
        <v>40.505178996217111</v>
      </c>
      <c r="N90" s="10">
        <f>M90</f>
        <v>40.505178996217111</v>
      </c>
      <c r="O90" s="10">
        <f>M103</f>
        <v>40.505178991805707</v>
      </c>
      <c r="P90" s="10">
        <f>O90</f>
        <v>40.505178991805707</v>
      </c>
      <c r="Q90" s="10">
        <f>O103</f>
        <v>40.505178991760637</v>
      </c>
      <c r="R90" s="10">
        <f>Q90</f>
        <v>40.505178991760637</v>
      </c>
      <c r="S90" s="10">
        <f>Q103</f>
        <v>40.505178991760175</v>
      </c>
      <c r="T90" s="10">
        <f>S90</f>
        <v>40.505178991760175</v>
      </c>
      <c r="U90" s="10">
        <f>S103</f>
        <v>40.505178991760168</v>
      </c>
      <c r="V90" s="10">
        <f>U90</f>
        <v>40.505178991760168</v>
      </c>
      <c r="W90" s="10">
        <f>U103</f>
        <v>40.505178991760168</v>
      </c>
      <c r="X90" s="10">
        <f>W90</f>
        <v>40.505178991760168</v>
      </c>
      <c r="Y90" s="10">
        <f>W103</f>
        <v>40.505178991760168</v>
      </c>
      <c r="Z90" s="10">
        <f>Y90</f>
        <v>40.505178991760168</v>
      </c>
      <c r="AA90" s="10">
        <f>Y103</f>
        <v>40.505178991760168</v>
      </c>
      <c r="AB90" s="10">
        <f>AA90</f>
        <v>40.505178991760168</v>
      </c>
    </row>
    <row r="91" spans="2:28" x14ac:dyDescent="0.25">
      <c r="B91" t="s">
        <v>54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2:28" x14ac:dyDescent="0.25">
      <c r="B92" t="s">
        <v>55</v>
      </c>
      <c r="C92" s="12">
        <f>(0.782*LN($D$80)-1.51)^-2</f>
        <v>3.6387445902105305E-2</v>
      </c>
      <c r="D92" s="12">
        <f>(0.782*LN($E$80)-1.51)^-2</f>
        <v>2.0214366654749155E-2</v>
      </c>
      <c r="E92" s="12">
        <f>(0.782*LN($D$80)-1.51)^-2</f>
        <v>3.6387445902105305E-2</v>
      </c>
      <c r="F92" s="12">
        <f>(0.782*LN($E$80)-1.51)^-2</f>
        <v>2.0214366654749155E-2</v>
      </c>
      <c r="G92" s="12">
        <f>(0.782*LN($D$80)-1.51)^-2</f>
        <v>3.6387445902105305E-2</v>
      </c>
      <c r="H92" s="12">
        <f>(0.782*LN($E$80)-1.51)^-2</f>
        <v>2.0214366654749155E-2</v>
      </c>
      <c r="I92" s="12">
        <f>(0.782*LN($D$80)-1.51)^-2</f>
        <v>3.6387445902105305E-2</v>
      </c>
      <c r="J92" s="12">
        <f>(0.782*LN($E$80)-1.51)^-2</f>
        <v>2.0214366654749155E-2</v>
      </c>
      <c r="K92" s="12">
        <f>(0.782*LN($D$80)-1.51)^-2</f>
        <v>3.6387445902105305E-2</v>
      </c>
      <c r="L92" s="12">
        <f>(0.782*LN($E$80)-1.51)^-2</f>
        <v>2.0214366654749155E-2</v>
      </c>
      <c r="M92" s="12">
        <f>(0.782*LN($D$80)-1.51)^-2</f>
        <v>3.6387445902105305E-2</v>
      </c>
      <c r="N92" s="12">
        <f>(0.782*LN($E$80)-1.51)^-2</f>
        <v>2.0214366654749155E-2</v>
      </c>
      <c r="O92" s="12">
        <f>(0.782*LN($D$80)-1.51)^-2</f>
        <v>3.6387445902105305E-2</v>
      </c>
      <c r="P92" s="12">
        <f>(0.782*LN($E$80)-1.51)^-2</f>
        <v>2.0214366654749155E-2</v>
      </c>
      <c r="Q92" s="12">
        <f>(0.782*LN($D$80)-1.51)^-2</f>
        <v>3.6387445902105305E-2</v>
      </c>
      <c r="R92" s="12">
        <f>(0.782*LN($E$80)-1.51)^-2</f>
        <v>2.0214366654749155E-2</v>
      </c>
      <c r="S92" s="12">
        <f>(0.782*LN($D$80)-1.51)^-2</f>
        <v>3.6387445902105305E-2</v>
      </c>
      <c r="T92" s="12">
        <f>(0.782*LN($E$80)-1.51)^-2</f>
        <v>2.0214366654749155E-2</v>
      </c>
      <c r="U92" s="12">
        <f>(0.782*LN($D$80)-1.51)^-2</f>
        <v>3.6387445902105305E-2</v>
      </c>
      <c r="V92" s="12">
        <f>(0.782*LN($E$80)-1.51)^-2</f>
        <v>2.0214366654749155E-2</v>
      </c>
      <c r="W92" s="12">
        <f>(0.782*LN($D$80)-1.51)^-2</f>
        <v>3.6387445902105305E-2</v>
      </c>
      <c r="X92" s="12">
        <f>(0.782*LN($E$80)-1.51)^-2</f>
        <v>2.0214366654749155E-2</v>
      </c>
      <c r="Y92" s="12">
        <f>(0.782*LN($D$80)-1.51)^-2</f>
        <v>3.6387445902105305E-2</v>
      </c>
      <c r="Z92" s="12">
        <f>(0.782*LN($E$80)-1.51)^-2</f>
        <v>2.0214366654749155E-2</v>
      </c>
      <c r="AA92" s="12">
        <f>(0.782*LN($D$80)-1.51)^-2</f>
        <v>3.6387445902105305E-2</v>
      </c>
      <c r="AB92" s="12">
        <f>(0.782*LN($E$80)-1.51)^-2</f>
        <v>2.0214366654749155E-2</v>
      </c>
    </row>
    <row r="93" spans="2:28" x14ac:dyDescent="0.25">
      <c r="B93" t="s">
        <v>56</v>
      </c>
      <c r="C93" s="9">
        <f>(C92/8)*($D$80-1000)*$D$78*(1+($D$76/12/C90)^(2/3))/( 1+12.7*(C92/8)^0.5*($D$78^(2/3)-1))</f>
        <v>70.873505958804415</v>
      </c>
      <c r="D93" s="9">
        <f>(D92/8)*($E$80-1000)*$E$78*(1+($E$76/12/D90)^(2/3))/( 1+12.7*(D92/8)^0.5*($E$78^(2/3)-1))</f>
        <v>339.75029996303402</v>
      </c>
      <c r="E93" s="9">
        <f>(E92/8)*($D$80-1000)*$D$78*(1+($D$76/12/E90)^(2/3))/( 1+12.7*(E92/8)^0.5*($D$78^(2/3)-1))</f>
        <v>71.453162726323711</v>
      </c>
      <c r="F93" s="9">
        <f>(F92/8)*($E$80-1000)*$E$78*(1+($E$76/12/F90)^(2/3))/( 1+12.7*(F92/8)^0.5*($E$78^(2/3)-1))</f>
        <v>345.48131510610273</v>
      </c>
      <c r="G93" s="9">
        <f>(G92/8)*($D$80-1000)*$D$78*(1+($D$76/12/G90)^(2/3))/( 1+12.7*(G92/8)^0.5*($D$78^(2/3)-1))</f>
        <v>71.459116254988331</v>
      </c>
      <c r="H93" s="9">
        <f>(H92/8)*($E$80-1000)*$E$78*(1+($E$76/12/H90)^(2/3))/( 1+12.7*(H92/8)^0.5*($E$78^(2/3)-1))</f>
        <v>345.54017711693996</v>
      </c>
      <c r="I93" s="9">
        <f>(I92/8)*($D$80-1000)*$D$78*(1+($D$76/12/I90)^(2/3))/( 1+12.7*(I92/8)^0.5*($D$78^(2/3)-1))</f>
        <v>71.459177091359905</v>
      </c>
      <c r="J93" s="9">
        <f>(J92/8)*($E$80-1000)*$E$78*(1+($E$76/12/J90)^(2/3))/( 1+12.7*(J92/8)^0.5*($E$78^(2/3)-1))</f>
        <v>345.54077860075995</v>
      </c>
      <c r="K93" s="9">
        <f>(K92/8)*($D$80-1000)*$D$78*(1+($D$76/12/K90)^(2/3))/( 1+12.7*(K92/8)^0.5*($D$78^(2/3)-1))</f>
        <v>71.459177712986488</v>
      </c>
      <c r="L93" s="9">
        <f>(L92/8)*($E$80-1000)*$E$78*(1+($E$76/12/L90)^(2/3))/( 1+12.7*(L92/8)^0.5*($E$78^(2/3)-1))</f>
        <v>345.54078474672684</v>
      </c>
      <c r="M93" s="9">
        <f>(M92/8)*($D$80-1000)*$D$78*(1+($D$76/12/M90)^(2/3))/( 1+12.7*(M92/8)^0.5*($D$78^(2/3)-1))</f>
        <v>71.459177719338271</v>
      </c>
      <c r="N93" s="9">
        <f>(N92/8)*($E$80-1000)*$E$78*(1+($E$76/12/N90)^(2/3))/( 1+12.7*(N92/8)^0.5*($E$78^(2/3)-1))</f>
        <v>345.54078480952631</v>
      </c>
      <c r="O93" s="9">
        <f>(O92/8)*($D$80-1000)*$D$78*(1+($D$76/12/O90)^(2/3))/( 1+12.7*(O92/8)^0.5*($D$78^(2/3)-1))</f>
        <v>71.459177719403172</v>
      </c>
      <c r="P93" s="9">
        <f>(P92/8)*($E$80-1000)*$E$78*(1+($E$76/12/P90)^(2/3))/( 1+12.7*(P92/8)^0.5*($E$78^(2/3)-1))</f>
        <v>345.54078481016802</v>
      </c>
      <c r="Q93" s="9">
        <f>(Q92/8)*($D$80-1000)*$D$78*(1+($D$76/12/Q90)^(2/3))/( 1+12.7*(Q92/8)^0.5*($D$78^(2/3)-1))</f>
        <v>71.459177719403812</v>
      </c>
      <c r="R93" s="9">
        <f>(R92/8)*($E$80-1000)*$E$78*(1+($E$76/12/R90)^(2/3))/( 1+12.7*(R92/8)^0.5*($E$78^(2/3)-1))</f>
        <v>345.5407848101745</v>
      </c>
      <c r="S93" s="9">
        <f>(S92/8)*($D$80-1000)*$D$78*(1+($D$76/12/S90)^(2/3))/( 1+12.7*(S92/8)^0.5*($D$78^(2/3)-1))</f>
        <v>71.459177719403826</v>
      </c>
      <c r="T93" s="9">
        <f>(T92/8)*($E$80-1000)*$E$78*(1+($E$76/12/T90)^(2/3))/( 1+12.7*(T92/8)^0.5*($E$78^(2/3)-1))</f>
        <v>345.54078481017461</v>
      </c>
      <c r="U93" s="9">
        <f>(U92/8)*($D$80-1000)*$D$78*(1+($D$76/12/U90)^(2/3))/( 1+12.7*(U92/8)^0.5*($D$78^(2/3)-1))</f>
        <v>71.459177719403826</v>
      </c>
      <c r="V93" s="9">
        <f>(V92/8)*($E$80-1000)*$E$78*(1+($E$76/12/V90)^(2/3))/( 1+12.7*(V92/8)^0.5*($E$78^(2/3)-1))</f>
        <v>345.54078481017461</v>
      </c>
      <c r="W93" s="9">
        <f>(W92/8)*($D$80-1000)*$D$78*(1+($D$76/12/W90)^(2/3))/( 1+12.7*(W92/8)^0.5*($D$78^(2/3)-1))</f>
        <v>71.459177719403826</v>
      </c>
      <c r="X93" s="9">
        <f>(X92/8)*($E$80-1000)*$E$78*(1+($E$76/12/X90)^(2/3))/( 1+12.7*(X92/8)^0.5*($E$78^(2/3)-1))</f>
        <v>345.54078481017461</v>
      </c>
      <c r="Y93" s="9">
        <f>(Y92/8)*($D$80-1000)*$D$78*(1+($D$76/12/Y90)^(2/3))/( 1+12.7*(Y92/8)^0.5*($D$78^(2/3)-1))</f>
        <v>71.459177719403826</v>
      </c>
      <c r="Z93" s="9">
        <f>(Z92/8)*($E$80-1000)*$E$78*(1+($E$76/12/Z90)^(2/3))/( 1+12.7*(Z92/8)^0.5*($E$78^(2/3)-1))</f>
        <v>345.54078481017461</v>
      </c>
      <c r="AA93" s="9">
        <f>(AA92/8)*($D$80-1000)*$D$78*(1+($D$76/12/AA90)^(2/3))/( 1+12.7*(AA92/8)^0.5*($D$78^(2/3)-1))</f>
        <v>71.459177719403826</v>
      </c>
      <c r="AB93" s="9">
        <f>(AB92/8)*($E$80-1000)*$E$78*(1+($E$76/12/AB90)^(2/3))/( 1+12.7*(AB92/8)^0.5*($E$78^(2/3)-1))</f>
        <v>345.54078481017461</v>
      </c>
    </row>
    <row r="94" spans="2:28" x14ac:dyDescent="0.25"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2:28" x14ac:dyDescent="0.25">
      <c r="B95" t="s">
        <v>57</v>
      </c>
      <c r="C95" s="9">
        <f>1.86*($D$80*$D$78*($D$76/12)/C90)^(1/3)</f>
        <v>6.4053522507263763</v>
      </c>
      <c r="D95" s="9">
        <f>1.86*($E$80*$E$78*($E$76/12)/D90)^(1/3)</f>
        <v>12.319365081005902</v>
      </c>
      <c r="E95" s="9">
        <f>1.86*($D$80*$D$78*($D$76/12)/E90)^(1/3)</f>
        <v>10.87147635983996</v>
      </c>
      <c r="F95" s="9">
        <f>1.86*($E$80*$E$78*($E$76/12)/F90)^(1/3)</f>
        <v>20.909027482634649</v>
      </c>
      <c r="G95" s="9">
        <f>1.86*($D$80*$D$78*($D$76/12)/G90)^(1/3)</f>
        <v>10.907863978050464</v>
      </c>
      <c r="H95" s="9">
        <f>1.86*($E$80*$E$78*($E$76/12)/H90)^(1/3)</f>
        <v>20.979011510931091</v>
      </c>
      <c r="I95" s="9">
        <f>1.86*($D$80*$D$78*($D$76/12)/I90)^(1/3)</f>
        <v>10.908235179878988</v>
      </c>
      <c r="J95" s="9">
        <f>1.86*($E$80*$E$78*($E$76/12)/J90)^(1/3)</f>
        <v>20.979725440573887</v>
      </c>
      <c r="K95" s="9">
        <f>1.86*($D$80*$D$78*($D$76/12)/K90)^(1/3)</f>
        <v>10.908238972757289</v>
      </c>
      <c r="L95" s="9">
        <f>1.86*($E$80*$E$78*($E$76/12)/L90)^(1/3)</f>
        <v>20.979732735387767</v>
      </c>
      <c r="M95" s="9">
        <f>1.86*($D$80*$D$78*($D$76/12)/M90)^(1/3)</f>
        <v>10.908239011512929</v>
      </c>
      <c r="N95" s="9">
        <f>1.86*($E$80*$E$78*($E$76/12)/N90)^(1/3)</f>
        <v>20.979732809926197</v>
      </c>
      <c r="O95" s="9">
        <f>1.86*($D$80*$D$78*($D$76/12)/O90)^(1/3)</f>
        <v>10.908239011908933</v>
      </c>
      <c r="P95" s="9">
        <f>1.86*($E$80*$E$78*($E$76/12)/P90)^(1/3)</f>
        <v>20.979732810687825</v>
      </c>
      <c r="Q95" s="9">
        <f>1.86*($D$80*$D$78*($D$76/12)/Q90)^(1/3)</f>
        <v>10.908239011912979</v>
      </c>
      <c r="R95" s="9">
        <f>1.86*($E$80*$E$78*($E$76/12)/R90)^(1/3)</f>
        <v>20.979732810695605</v>
      </c>
      <c r="S95" s="9">
        <f>1.86*($D$80*$D$78*($D$76/12)/S90)^(1/3)</f>
        <v>10.908239011913022</v>
      </c>
      <c r="T95" s="9">
        <f>1.86*($E$80*$E$78*($E$76/12)/T90)^(1/3)</f>
        <v>20.979732810695687</v>
      </c>
      <c r="U95" s="9">
        <f>1.86*($D$80*$D$78*($D$76/12)/U90)^(1/3)</f>
        <v>10.908239011913022</v>
      </c>
      <c r="V95" s="9">
        <f>1.86*($E$80*$E$78*($E$76/12)/V90)^(1/3)</f>
        <v>20.979732810695687</v>
      </c>
      <c r="W95" s="9">
        <f>1.86*($D$80*$D$78*($D$76/12)/W90)^(1/3)</f>
        <v>10.908239011913022</v>
      </c>
      <c r="X95" s="9">
        <f>1.86*($E$80*$E$78*($E$76/12)/X90)^(1/3)</f>
        <v>20.979732810695687</v>
      </c>
      <c r="Y95" s="9">
        <f>1.86*($D$80*$D$78*($D$76/12)/Y90)^(1/3)</f>
        <v>10.908239011913022</v>
      </c>
      <c r="Z95" s="9">
        <f>1.86*($E$80*$E$78*($E$76/12)/Z90)^(1/3)</f>
        <v>20.979732810695687</v>
      </c>
      <c r="AA95" s="9">
        <f>1.86*($D$80*$D$78*($D$76/12)/AA90)^(1/3)</f>
        <v>10.908239011913022</v>
      </c>
      <c r="AB95" s="9">
        <f>1.86*($E$80*$E$78*($E$76/12)/AB90)^(1/3)</f>
        <v>20.979732810695687</v>
      </c>
    </row>
    <row r="96" spans="2:28" x14ac:dyDescent="0.25">
      <c r="B96" t="s">
        <v>58</v>
      </c>
      <c r="C96" s="9">
        <f>IF($D$80&gt;2300,C93,C95)*$D$81</f>
        <v>70.873505958804415</v>
      </c>
      <c r="D96" s="9">
        <f>IF($E$80&gt;2300,D93,D95)*$E$81</f>
        <v>339.75029996303402</v>
      </c>
      <c r="E96" s="9">
        <f>IF($D$80&gt;2300,E93,E95)*$D$81</f>
        <v>71.453162726323711</v>
      </c>
      <c r="F96" s="9">
        <f>IF($E$80&gt;2300,F93,F95)*$E$81</f>
        <v>345.48131510610273</v>
      </c>
      <c r="G96" s="9">
        <f>IF($D$80&gt;2300,G93,G95)*$D$81</f>
        <v>71.459116254988331</v>
      </c>
      <c r="H96" s="9">
        <f>IF($E$80&gt;2300,H93,H95)*$E$81</f>
        <v>345.54017711693996</v>
      </c>
      <c r="I96" s="9">
        <f>IF($D$80&gt;2300,I93,I95)*$D$81</f>
        <v>71.459177091359905</v>
      </c>
      <c r="J96" s="9">
        <f>IF($E$80&gt;2300,J93,J95)*$E$81</f>
        <v>345.54077860075995</v>
      </c>
      <c r="K96" s="9">
        <f>IF($D$80&gt;2300,K93,K95)*$D$81</f>
        <v>71.459177712986488</v>
      </c>
      <c r="L96" s="9">
        <f>IF($E$80&gt;2300,L93,L95)*$E$81</f>
        <v>345.54078474672684</v>
      </c>
      <c r="M96" s="9">
        <f>IF($D$80&gt;2300,M93,M95)*$D$81</f>
        <v>71.459177719338271</v>
      </c>
      <c r="N96" s="9">
        <f>IF($E$80&gt;2300,N93,N95)*$E$81</f>
        <v>345.54078480952631</v>
      </c>
      <c r="O96" s="9">
        <f>IF($D$80&gt;2300,O93,O95)*$D$81</f>
        <v>71.459177719403172</v>
      </c>
      <c r="P96" s="9">
        <f>IF($E$80&gt;2300,P93,P95)*$E$81</f>
        <v>345.54078481016802</v>
      </c>
      <c r="Q96" s="9">
        <f>IF($D$80&gt;2300,Q93,Q95)*$D$81</f>
        <v>71.459177719403812</v>
      </c>
      <c r="R96" s="9">
        <f>IF($E$80&gt;2300,R93,R95)*$E$81</f>
        <v>345.5407848101745</v>
      </c>
      <c r="S96" s="9">
        <f>IF($D$80&gt;2300,S93,S95)*$D$81</f>
        <v>71.459177719403826</v>
      </c>
      <c r="T96" s="9">
        <f>IF($E$80&gt;2300,T93,T95)*$E$81</f>
        <v>345.54078481017461</v>
      </c>
      <c r="U96" s="9">
        <f>IF($D$80&gt;2300,U93,U95)*$D$81</f>
        <v>71.459177719403826</v>
      </c>
      <c r="V96" s="9">
        <f>IF($E$80&gt;2300,V93,V95)*$E$81</f>
        <v>345.54078481017461</v>
      </c>
      <c r="W96" s="9">
        <f>IF($D$80&gt;2300,W93,W95)*$D$81</f>
        <v>71.459177719403826</v>
      </c>
      <c r="X96" s="9">
        <f>IF($E$80&gt;2300,X93,X95)*$E$81</f>
        <v>345.54078481017461</v>
      </c>
      <c r="Y96" s="9">
        <f>IF($D$80&gt;2300,Y93,Y95)*$D$81</f>
        <v>71.459177719403826</v>
      </c>
      <c r="Z96" s="9">
        <f>IF($E$80&gt;2300,Z93,Z95)*$E$81</f>
        <v>345.54078481017461</v>
      </c>
      <c r="AA96" s="9">
        <f>IF($D$80&gt;2300,AA93,AA95)*$D$81</f>
        <v>71.459177719403826</v>
      </c>
      <c r="AB96" s="9">
        <f>IF($E$80&gt;2300,AB93,AB95)*$E$81</f>
        <v>345.54078481017461</v>
      </c>
    </row>
    <row r="97" spans="1:28" x14ac:dyDescent="0.25">
      <c r="B97" t="s">
        <v>60</v>
      </c>
      <c r="C97" s="9">
        <f>C96*$E$27/($D$76/12)</f>
        <v>122.72468564295137</v>
      </c>
      <c r="D97" s="9">
        <f>D96*$F$27/($E$76/12)</f>
        <v>181.46315005282511</v>
      </c>
      <c r="E97" s="9">
        <f>E96*$E$27/($D$76/12)</f>
        <v>123.72842030532244</v>
      </c>
      <c r="F97" s="9">
        <f>F96*$F$27/($E$76/12)</f>
        <v>184.52412766189519</v>
      </c>
      <c r="G97" s="9">
        <f>G96*$E$27/($D$76/12)</f>
        <v>123.73872944586724</v>
      </c>
      <c r="H97" s="9">
        <f>H96*$F$27/($E$76/12)</f>
        <v>184.55556629758183</v>
      </c>
      <c r="I97" s="9">
        <f>I96*$E$27/($D$76/12)</f>
        <v>123.7388347902336</v>
      </c>
      <c r="J97" s="9">
        <f>J96*$F$27/($E$76/12)</f>
        <v>184.55588755454229</v>
      </c>
      <c r="K97" s="9">
        <f>K96*$E$27/($D$76/12)</f>
        <v>123.73883586664326</v>
      </c>
      <c r="L97" s="9">
        <f>L96*$F$27/($E$76/12)</f>
        <v>184.55589083714872</v>
      </c>
      <c r="M97" s="9">
        <f>M96*$E$27/($D$76/12)</f>
        <v>123.73883587764203</v>
      </c>
      <c r="N97" s="9">
        <f>N96*$F$27/($E$76/12)</f>
        <v>184.55589087069038</v>
      </c>
      <c r="O97" s="9">
        <f>O96*$E$27/($D$76/12)</f>
        <v>123.73883587775441</v>
      </c>
      <c r="P97" s="9">
        <f>P96*$F$27/($E$76/12)</f>
        <v>184.55589087103311</v>
      </c>
      <c r="Q97" s="9">
        <f>Q96*$E$27/($D$76/12)</f>
        <v>123.73883587775552</v>
      </c>
      <c r="R97" s="9">
        <f>R96*$F$27/($E$76/12)</f>
        <v>184.55589087103658</v>
      </c>
      <c r="S97" s="9">
        <f>S96*$E$27/($D$76/12)</f>
        <v>123.73883587775553</v>
      </c>
      <c r="T97" s="9">
        <f>T96*$F$27/($E$76/12)</f>
        <v>184.55589087103664</v>
      </c>
      <c r="U97" s="9">
        <f>U96*$E$27/($D$76/12)</f>
        <v>123.73883587775553</v>
      </c>
      <c r="V97" s="9">
        <f>V96*$F$27/($E$76/12)</f>
        <v>184.55589087103664</v>
      </c>
      <c r="W97" s="9">
        <f>W96*$E$27/($D$76/12)</f>
        <v>123.73883587775553</v>
      </c>
      <c r="X97" s="9">
        <f>X96*$F$27/($E$76/12)</f>
        <v>184.55589087103664</v>
      </c>
      <c r="Y97" s="9">
        <f>Y96*$E$27/($D$76/12)</f>
        <v>123.73883587775553</v>
      </c>
      <c r="Z97" s="9">
        <f>Z96*$F$27/($E$76/12)</f>
        <v>184.55589087103664</v>
      </c>
      <c r="AA97" s="9">
        <f>AA96*$E$27/($D$76/12)</f>
        <v>123.73883587775553</v>
      </c>
      <c r="AB97" s="9">
        <f>AB96*$F$27/($E$76/12)</f>
        <v>184.55589087103664</v>
      </c>
    </row>
    <row r="99" spans="1:28" x14ac:dyDescent="0.25">
      <c r="C99" t="s">
        <v>49</v>
      </c>
      <c r="D99" t="s">
        <v>50</v>
      </c>
      <c r="E99" t="s">
        <v>49</v>
      </c>
      <c r="F99" t="s">
        <v>50</v>
      </c>
      <c r="G99" t="s">
        <v>49</v>
      </c>
      <c r="H99" t="s">
        <v>50</v>
      </c>
      <c r="I99" t="s">
        <v>49</v>
      </c>
      <c r="J99" t="s">
        <v>50</v>
      </c>
      <c r="K99" t="s">
        <v>49</v>
      </c>
      <c r="L99" t="s">
        <v>50</v>
      </c>
      <c r="M99" t="s">
        <v>49</v>
      </c>
      <c r="N99" t="s">
        <v>50</v>
      </c>
      <c r="O99" t="s">
        <v>49</v>
      </c>
      <c r="P99" t="s">
        <v>50</v>
      </c>
      <c r="Q99" t="s">
        <v>49</v>
      </c>
      <c r="R99" t="s">
        <v>50</v>
      </c>
      <c r="S99" t="s">
        <v>49</v>
      </c>
      <c r="T99" t="s">
        <v>50</v>
      </c>
      <c r="U99" t="s">
        <v>49</v>
      </c>
      <c r="V99" t="s">
        <v>50</v>
      </c>
      <c r="W99" t="s">
        <v>49</v>
      </c>
      <c r="X99" t="s">
        <v>50</v>
      </c>
      <c r="Y99" t="s">
        <v>49</v>
      </c>
      <c r="Z99" t="s">
        <v>50</v>
      </c>
      <c r="AA99" t="s">
        <v>49</v>
      </c>
      <c r="AB99" t="s">
        <v>50</v>
      </c>
    </row>
    <row r="100" spans="1:28" x14ac:dyDescent="0.25">
      <c r="B100" t="s">
        <v>61</v>
      </c>
      <c r="C100" s="9">
        <f>IF($H$65=1,C97,D97)</f>
        <v>181.46315005282511</v>
      </c>
      <c r="D100" s="9">
        <f>IF($H$65=2,C97,D97)</f>
        <v>122.72468564295137</v>
      </c>
      <c r="E100" s="9">
        <f>IF($H$65=1,E97,F97)</f>
        <v>184.52412766189519</v>
      </c>
      <c r="F100" s="9">
        <f>IF($H$65=2,E97,F97)</f>
        <v>123.72842030532244</v>
      </c>
      <c r="G100" s="9">
        <f>IF($H$65=1,G97,H97)</f>
        <v>184.55556629758183</v>
      </c>
      <c r="H100" s="9">
        <f>IF($H$65=2,G97,H97)</f>
        <v>123.73872944586724</v>
      </c>
      <c r="I100" s="9">
        <f>IF($H$65=1,I97,J97)</f>
        <v>184.55588755454229</v>
      </c>
      <c r="J100" s="9">
        <f>IF($H$65=2,I97,J97)</f>
        <v>123.7388347902336</v>
      </c>
      <c r="K100" s="9">
        <f>IF($H$65=1,K97,L97)</f>
        <v>184.55589083714872</v>
      </c>
      <c r="L100" s="9">
        <f>IF($H$65=2,K97,L97)</f>
        <v>123.73883586664326</v>
      </c>
      <c r="M100" s="9">
        <f>IF($H$65=1,M97,N97)</f>
        <v>184.55589087069038</v>
      </c>
      <c r="N100" s="9">
        <f>IF($H$65=2,M97,N97)</f>
        <v>123.73883587764203</v>
      </c>
      <c r="O100" s="9">
        <f>IF($H$65=1,O97,P97)</f>
        <v>184.55589087103311</v>
      </c>
      <c r="P100" s="9">
        <f>IF($H$65=2,O97,P97)</f>
        <v>123.73883587775441</v>
      </c>
      <c r="Q100" s="9">
        <f>IF($H$65=1,Q97,R97)</f>
        <v>184.55589087103658</v>
      </c>
      <c r="R100" s="9">
        <f>IF($H$65=2,Q97,R97)</f>
        <v>123.73883587775552</v>
      </c>
      <c r="S100" s="9">
        <f>IF($H$65=1,S97,T97)</f>
        <v>184.55589087103664</v>
      </c>
      <c r="T100" s="9">
        <f>IF($H$65=2,S97,T97)</f>
        <v>123.73883587775553</v>
      </c>
      <c r="U100" s="9">
        <f>IF($H$65=1,U97,V97)</f>
        <v>184.55589087103664</v>
      </c>
      <c r="V100" s="9">
        <f>IF($H$65=2,U97,V97)</f>
        <v>123.73883587775553</v>
      </c>
      <c r="W100" s="9">
        <f>IF($H$65=1,W97,X97)</f>
        <v>184.55589087103664</v>
      </c>
      <c r="X100" s="9">
        <f>IF($H$65=2,W97,X97)</f>
        <v>123.73883587775553</v>
      </c>
      <c r="Y100" s="9">
        <f>IF($H$65=1,Y97,Z97)</f>
        <v>184.55589087103664</v>
      </c>
      <c r="Z100" s="9">
        <f>IF($H$65=2,Y97,Z97)</f>
        <v>123.73883587775553</v>
      </c>
      <c r="AA100" s="9">
        <f>IF($H$65=1,AA97,AB97)</f>
        <v>184.55589087103664</v>
      </c>
      <c r="AB100" s="9">
        <f>IF($H$65=2,AA97,AB97)</f>
        <v>123.73883587775553</v>
      </c>
    </row>
    <row r="101" spans="1:28" s="4" customFormat="1" x14ac:dyDescent="0.25">
      <c r="A101" s="39"/>
      <c r="B101" s="4" t="s">
        <v>63</v>
      </c>
      <c r="C101" s="9">
        <f>1/($D$83/C100+$D$82+1/D100+$D$83*$H$76+$I$76)</f>
        <v>58.282190069698494</v>
      </c>
      <c r="D101" s="9"/>
      <c r="E101" s="9">
        <f>1/($D$83/E100+$D$82+1/F100+$D$83*$H$76+$I$76)</f>
        <v>58.869375167790473</v>
      </c>
      <c r="F101" s="9"/>
      <c r="G101" s="9">
        <f>1/($D$83/G100+$D$82+1/H100+$D$83*$H$76+$I$76)</f>
        <v>58.875385463686484</v>
      </c>
      <c r="H101" s="9"/>
      <c r="I101" s="9">
        <f>1/($D$83/I100+$D$82+1/J100+$D$83*$H$76+$I$76)</f>
        <v>58.875446877997611</v>
      </c>
      <c r="J101" s="9"/>
      <c r="K101" s="9">
        <f>1/($D$83/K100+$D$82+1/L100+$D$83*$H$76+$I$76)</f>
        <v>58.875447505529372</v>
      </c>
      <c r="L101" s="9"/>
      <c r="M101" s="9">
        <f>1/($D$83/M100+$D$82+1/N100+$D$83*$H$76+$I$76)</f>
        <v>58.875447511941481</v>
      </c>
      <c r="N101" s="9"/>
      <c r="O101" s="9">
        <f>1/($D$83/O100+$D$82+1/P100+$D$83*$H$76+$I$76)</f>
        <v>58.875447512007</v>
      </c>
      <c r="P101" s="9"/>
      <c r="Q101" s="9">
        <f>1/($D$83/Q100+$D$82+1/R100+$D$83*$H$76+$I$76)</f>
        <v>58.875447512007661</v>
      </c>
      <c r="R101" s="9"/>
      <c r="S101" s="9">
        <f>1/($D$83/S100+$D$82+1/T100+$D$83*$H$76+$I$76)</f>
        <v>58.875447512007675</v>
      </c>
      <c r="T101" s="9"/>
      <c r="U101" s="9">
        <f>1/($D$83/U100+$D$82+1/V100+$D$83*$H$76+$I$76)</f>
        <v>58.875447512007675</v>
      </c>
      <c r="V101" s="9"/>
      <c r="W101" s="9">
        <f>1/($D$83/W100+$D$82+1/X100+$D$83*$H$76+$I$76)</f>
        <v>58.875447512007675</v>
      </c>
      <c r="X101" s="9"/>
      <c r="Y101" s="9">
        <f>1/($D$83/Y100+$D$82+1/Z100+$D$83*$H$76+$I$76)</f>
        <v>58.875447512007675</v>
      </c>
      <c r="Z101" s="9"/>
      <c r="AA101" s="9">
        <f>1/($D$83/AA100+$D$82+1/AB100+$D$83*$H$76+$I$76)</f>
        <v>58.875447512007675</v>
      </c>
      <c r="AB101" s="9"/>
    </row>
    <row r="102" spans="1:28" s="4" customFormat="1" x14ac:dyDescent="0.25">
      <c r="A102" s="39"/>
      <c r="B102" s="4" t="s">
        <v>72</v>
      </c>
      <c r="C102" s="9">
        <f>$D$85/(C101*$D$84)</f>
        <v>25.441408694626844</v>
      </c>
      <c r="D102" s="9"/>
      <c r="E102" s="9">
        <f>$D$85/(E101*$D$84)</f>
        <v>25.187646598165419</v>
      </c>
      <c r="F102" s="9"/>
      <c r="G102" s="9">
        <f>$D$85/(G101*$D$84)</f>
        <v>25.185075316333684</v>
      </c>
      <c r="H102" s="9"/>
      <c r="I102" s="9">
        <f>$D$85/(I101*$D$84)</f>
        <v>25.185049045211624</v>
      </c>
      <c r="J102" s="9"/>
      <c r="K102" s="9">
        <f>$D$85/(K101*$D$84)</f>
        <v>25.185048776773439</v>
      </c>
      <c r="L102" s="9"/>
      <c r="M102" s="9">
        <f>$D$85/(M101*$D$84)</f>
        <v>25.185048774030541</v>
      </c>
      <c r="N102" s="9"/>
      <c r="O102" s="9">
        <f>$D$85/(O101*$D$84)</f>
        <v>25.185048774002517</v>
      </c>
      <c r="P102" s="9"/>
      <c r="Q102" s="9">
        <f>$D$85/(Q101*$D$84)</f>
        <v>25.185048774002233</v>
      </c>
      <c r="R102" s="9"/>
      <c r="S102" s="9">
        <f>$D$85/(S101*$D$84)</f>
        <v>25.18504877400223</v>
      </c>
      <c r="T102" s="9"/>
      <c r="U102" s="9">
        <f>$D$85/(U101*$D$84)</f>
        <v>25.18504877400223</v>
      </c>
      <c r="V102" s="9"/>
      <c r="W102" s="9">
        <f>$D$85/(W101*$D$84)</f>
        <v>25.18504877400223</v>
      </c>
      <c r="X102" s="9"/>
      <c r="Y102" s="9">
        <f>$D$85/(Y101*$D$84)</f>
        <v>25.18504877400223</v>
      </c>
      <c r="Z102" s="9"/>
      <c r="AA102" s="9">
        <f>$D$85/(AA101*$D$84)</f>
        <v>25.18504877400223</v>
      </c>
      <c r="AB102" s="9"/>
    </row>
    <row r="103" spans="1:28" s="4" customFormat="1" x14ac:dyDescent="0.25">
      <c r="A103" s="39"/>
      <c r="B103" s="4" t="s">
        <v>53</v>
      </c>
      <c r="C103" s="9">
        <f>C102/(PI()*$D$86)</f>
        <v>40.917483314233131</v>
      </c>
      <c r="D103" s="9"/>
      <c r="E103" s="9">
        <f>E102/(PI()*$D$86)</f>
        <v>40.509357079071549</v>
      </c>
      <c r="F103" s="9"/>
      <c r="G103" s="9">
        <f>G102/(PI()*$D$86)</f>
        <v>40.505221679860405</v>
      </c>
      <c r="H103" s="9"/>
      <c r="I103" s="9">
        <f>I102/(PI()*$D$86)</f>
        <v>40.505179427946942</v>
      </c>
      <c r="J103" s="9"/>
      <c r="K103" s="9">
        <f>K102/(PI()*$D$86)</f>
        <v>40.505178996217111</v>
      </c>
      <c r="L103" s="9"/>
      <c r="M103" s="9">
        <f>M102/(PI()*$D$86)</f>
        <v>40.505178991805707</v>
      </c>
      <c r="N103" s="9"/>
      <c r="O103" s="9">
        <f>O102/(PI()*$D$86)</f>
        <v>40.505178991760637</v>
      </c>
      <c r="P103" s="9"/>
      <c r="Q103" s="9">
        <f>Q102/(PI()*$D$86)</f>
        <v>40.505178991760175</v>
      </c>
      <c r="R103" s="9"/>
      <c r="S103" s="9">
        <f>S102/(PI()*$D$86)</f>
        <v>40.505178991760168</v>
      </c>
      <c r="T103" s="9"/>
      <c r="U103" s="9">
        <f>U102/(PI()*$D$86)</f>
        <v>40.505178991760168</v>
      </c>
      <c r="V103" s="9"/>
      <c r="W103" s="9">
        <f>W102/(PI()*$D$86)</f>
        <v>40.505178991760168</v>
      </c>
      <c r="X103" s="9"/>
      <c r="Y103" s="9">
        <f>Y102/(PI()*$D$86)</f>
        <v>40.505178991760168</v>
      </c>
      <c r="Z103" s="9"/>
      <c r="AA103" s="9">
        <f>AA102/(PI()*$D$86)</f>
        <v>40.505178991760168</v>
      </c>
      <c r="AB103" s="9"/>
    </row>
    <row r="105" spans="1:28" x14ac:dyDescent="0.25">
      <c r="B105" t="s">
        <v>76</v>
      </c>
      <c r="D105" s="12">
        <f>AA103</f>
        <v>40.505178991760168</v>
      </c>
    </row>
    <row r="106" spans="1:28" x14ac:dyDescent="0.25">
      <c r="B106" t="s">
        <v>72</v>
      </c>
      <c r="D106" s="12">
        <f>AA102</f>
        <v>25.18504877400223</v>
      </c>
    </row>
    <row r="108" spans="1:28" x14ac:dyDescent="0.25">
      <c r="B108" t="s">
        <v>82</v>
      </c>
      <c r="D108" s="12">
        <f>D105/E11/2</f>
        <v>1.0126294747940041</v>
      </c>
      <c r="E108" t="s">
        <v>83</v>
      </c>
      <c r="F108" s="10" t="str">
        <f>FIXED(D108,0)</f>
        <v>1</v>
      </c>
      <c r="G108" s="12">
        <f>D108-F108</f>
        <v>1.2629474794004114E-2</v>
      </c>
      <c r="H108" s="10">
        <f>IF(G108&lt;=0.1,0,1)</f>
        <v>0</v>
      </c>
    </row>
    <row r="109" spans="1:28" x14ac:dyDescent="0.25">
      <c r="B109" t="s">
        <v>84</v>
      </c>
      <c r="D109" s="12">
        <f>FIXED(D108,0)+H108</f>
        <v>1</v>
      </c>
    </row>
    <row r="110" spans="1:28" x14ac:dyDescent="0.25">
      <c r="B110" t="s">
        <v>85</v>
      </c>
      <c r="D110" s="10">
        <f>D109*E11*2</f>
        <v>40</v>
      </c>
      <c r="E110" t="s">
        <v>81</v>
      </c>
    </row>
    <row r="112" spans="1:28" x14ac:dyDescent="0.25">
      <c r="B112" t="s">
        <v>86</v>
      </c>
    </row>
    <row r="113" spans="2:5" x14ac:dyDescent="0.25">
      <c r="B113" t="s">
        <v>91</v>
      </c>
      <c r="D113" s="13">
        <f>D15/H14</f>
        <v>0.77411994784876137</v>
      </c>
      <c r="E113" s="9">
        <f>(1-D113)^2/(1+D113^2+(1-D113^2)/LN(D113))</f>
        <v>1.498366844072448</v>
      </c>
    </row>
    <row r="114" spans="2:5" x14ac:dyDescent="0.25">
      <c r="D114" t="s">
        <v>20</v>
      </c>
      <c r="E114" t="s">
        <v>21</v>
      </c>
    </row>
    <row r="115" spans="2:5" x14ac:dyDescent="0.25">
      <c r="B115" t="s">
        <v>87</v>
      </c>
      <c r="D115" s="9">
        <f>E18/D77</f>
        <v>471116.52509553067</v>
      </c>
      <c r="E115" s="9">
        <f>F18/E77</f>
        <v>429132.74777738081</v>
      </c>
    </row>
    <row r="116" spans="2:5" x14ac:dyDescent="0.25">
      <c r="B116" t="s">
        <v>88</v>
      </c>
      <c r="D116" s="10"/>
      <c r="E116" s="10"/>
    </row>
    <row r="117" spans="2:5" x14ac:dyDescent="0.25">
      <c r="B117" t="s">
        <v>55</v>
      </c>
      <c r="D117" s="11">
        <f>64/D80*E113</f>
        <v>1.7052949990351795E-2</v>
      </c>
      <c r="E117" s="11">
        <f>64/E80*E113</f>
        <v>1.7260829027843428E-3</v>
      </c>
    </row>
    <row r="118" spans="2:5" x14ac:dyDescent="0.25">
      <c r="B118" t="s">
        <v>89</v>
      </c>
      <c r="D118" s="10">
        <f>(E25/E28)^0.25</f>
        <v>1</v>
      </c>
      <c r="E118" s="10">
        <f>(F25/F28)^0.25</f>
        <v>1</v>
      </c>
    </row>
    <row r="119" spans="2:5" x14ac:dyDescent="0.25">
      <c r="B119" t="s">
        <v>90</v>
      </c>
      <c r="D119" s="10"/>
      <c r="E119" s="10"/>
    </row>
    <row r="120" spans="2:5" x14ac:dyDescent="0.25">
      <c r="B120" t="s">
        <v>55</v>
      </c>
      <c r="D120" s="11">
        <f>0.3676*(D80^-0.2314)</f>
        <v>4.9845484805681795E-2</v>
      </c>
      <c r="E120" s="11">
        <f>0.3676*(E80^-0.2314)</f>
        <v>2.9338876689674317E-2</v>
      </c>
    </row>
    <row r="121" spans="2:5" x14ac:dyDescent="0.25">
      <c r="B121" t="s">
        <v>89</v>
      </c>
      <c r="D121" s="10">
        <f>(E25/E28)^0.14</f>
        <v>1</v>
      </c>
      <c r="E121" s="10">
        <f>(F25/F28)^0.14</f>
        <v>1</v>
      </c>
    </row>
    <row r="122" spans="2:5" x14ac:dyDescent="0.25">
      <c r="B122" t="s">
        <v>14</v>
      </c>
      <c r="D122" s="10"/>
      <c r="E122" s="10"/>
    </row>
    <row r="123" spans="2:5" x14ac:dyDescent="0.25">
      <c r="B123" t="s">
        <v>55</v>
      </c>
      <c r="D123" s="12">
        <f>IF(D80&lt;=2300,D117,D120)</f>
        <v>4.9845484805681795E-2</v>
      </c>
      <c r="E123" s="12">
        <f>IF(E80&lt;=2300,E117,E120)</f>
        <v>2.9338876689674317E-2</v>
      </c>
    </row>
    <row r="124" spans="2:5" x14ac:dyDescent="0.25">
      <c r="B124" t="s">
        <v>89</v>
      </c>
      <c r="D124" s="10">
        <f>IF(D80&lt;=2300,D118,D121)</f>
        <v>1</v>
      </c>
      <c r="E124" s="10">
        <f>IF(E80&lt;=2300,E118,E121)</f>
        <v>1</v>
      </c>
    </row>
    <row r="125" spans="2:5" x14ac:dyDescent="0.25">
      <c r="B125" t="s">
        <v>92</v>
      </c>
      <c r="D125" s="12">
        <f>D123*D110*D115^2/(7.5*10^12*(D76*D124/12)*E24/62.43)</f>
        <v>1.31788408398242</v>
      </c>
      <c r="E125" s="12">
        <f>E123*D110*E115^2/(7.5*10^12*(E76*E124/12)*F24/62.43)</f>
        <v>0.21987002177121531</v>
      </c>
    </row>
    <row r="126" spans="2:5" x14ac:dyDescent="0.25">
      <c r="B126" t="s">
        <v>95</v>
      </c>
      <c r="D126" s="10"/>
      <c r="E126" s="10"/>
    </row>
    <row r="127" spans="2:5" x14ac:dyDescent="0.25">
      <c r="B127" t="s">
        <v>94</v>
      </c>
      <c r="D127" s="12">
        <f>$D$125+2*10^-13*(2*$D$109-1)*$D$115^2/($E$24/62.43)</f>
        <v>1.3751418823667805</v>
      </c>
      <c r="E127" s="12">
        <f>$E$125+2*10^-13*(2*$D$109-1)*$E$115^2/($F$24/62.43)</f>
        <v>0.26827756432645855</v>
      </c>
    </row>
    <row r="128" spans="2:5" x14ac:dyDescent="0.25">
      <c r="B128" t="s">
        <v>96</v>
      </c>
      <c r="D128" s="12">
        <f>$D$125+1.6*10^-13*(2*$D$109-1)*$D$115^2/($E$24/62.43)</f>
        <v>1.3636903226899082</v>
      </c>
      <c r="E128" s="12">
        <f>$E$125+1.6*10^-13*(2*$D$109-1)*$E$115^2/($F$24/62.43)</f>
        <v>0.2585960558154099</v>
      </c>
    </row>
    <row r="129" spans="2:5" x14ac:dyDescent="0.25">
      <c r="B129" t="s">
        <v>14</v>
      </c>
      <c r="D129" s="13">
        <f>IF(D80&lt;=2100,D127,D128)</f>
        <v>1.3636903226899082</v>
      </c>
      <c r="E129" s="13">
        <f>IF(E80&lt;=2100,E127,E128)</f>
        <v>0.2585960558154099</v>
      </c>
    </row>
  </sheetData>
  <sheetProtection selectLockedCells="1"/>
  <mergeCells count="9">
    <mergeCell ref="E8:F8"/>
    <mergeCell ref="E9:F9"/>
    <mergeCell ref="E10:F10"/>
    <mergeCell ref="E11:F11"/>
    <mergeCell ref="B2:H2"/>
    <mergeCell ref="G3:H3"/>
    <mergeCell ref="G4:H4"/>
    <mergeCell ref="G5:H5"/>
    <mergeCell ref="G6:H6"/>
  </mergeCells>
  <dataValidations count="3">
    <dataValidation type="list" allowBlank="1" showInputMessage="1" showErrorMessage="1" sqref="E8:F8">
      <formula1>$D$65:$D$66</formula1>
    </dataValidation>
    <dataValidation type="list" allowBlank="1" showInputMessage="1" showErrorMessage="1" sqref="E9:F9">
      <formula1>$D$68:$D$73</formula1>
    </dataValidation>
    <dataValidation type="list" allowBlank="1" showInputMessage="1" showErrorMessage="1" sqref="E10:F10">
      <formula1>$C$58:$C$59</formula1>
    </dataValidation>
  </dataValidations>
  <hyperlinks>
    <hyperlink ref="B3" r:id="rId1"/>
  </hyperlinks>
  <pageMargins left="0.7" right="0.7" top="0.75" bottom="0.75" header="0.3" footer="0.3"/>
  <pageSetup paperSize="9" scale="98" orientation="portrait" r:id="rId2"/>
  <ignoredErrors>
    <ignoredError sqref="E33:F33 E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0"/>
  <sheetViews>
    <sheetView tabSelected="1" zoomScaleNormal="100" zoomScaleSheetLayoutView="100" workbookViewId="0">
      <selection activeCell="I10" sqref="I10"/>
    </sheetView>
  </sheetViews>
  <sheetFormatPr defaultRowHeight="15" x14ac:dyDescent="0.25"/>
  <cols>
    <col min="1" max="1" width="2.7109375" style="1" customWidth="1"/>
    <col min="2" max="2" width="10.85546875" customWidth="1"/>
    <col min="3" max="3" width="12.85546875" customWidth="1"/>
    <col min="4" max="4" width="13.140625" customWidth="1"/>
    <col min="5" max="5" width="12.28515625" customWidth="1"/>
    <col min="6" max="6" width="11.7109375" customWidth="1"/>
    <col min="9" max="9" width="6.42578125" customWidth="1"/>
    <col min="10" max="10" width="7.28515625" customWidth="1"/>
  </cols>
  <sheetData>
    <row r="1" spans="1:20" s="3" customFormat="1" x14ac:dyDescent="0.25">
      <c r="A1" s="63"/>
      <c r="I1" s="64"/>
      <c r="J1" s="63"/>
      <c r="L1" s="77"/>
      <c r="M1" s="77"/>
      <c r="N1" s="77"/>
      <c r="O1" s="77"/>
      <c r="P1" s="77"/>
      <c r="Q1" s="77"/>
      <c r="R1" s="78"/>
      <c r="S1" s="77"/>
      <c r="T1" s="77"/>
    </row>
    <row r="2" spans="1:20" s="68" customFormat="1" ht="19.5" customHeight="1" x14ac:dyDescent="0.25">
      <c r="A2" s="65"/>
      <c r="B2" s="88" t="s">
        <v>134</v>
      </c>
      <c r="C2" s="88"/>
      <c r="D2" s="88"/>
      <c r="E2" s="88"/>
      <c r="F2" s="88"/>
      <c r="G2" s="88"/>
      <c r="H2" s="88"/>
      <c r="I2" s="66"/>
      <c r="J2" s="67"/>
      <c r="L2" s="79"/>
      <c r="M2" s="79"/>
      <c r="N2" s="80"/>
      <c r="O2" s="79"/>
      <c r="P2" s="79"/>
      <c r="Q2" s="79"/>
      <c r="R2" s="81"/>
      <c r="S2" s="79"/>
      <c r="T2" s="79"/>
    </row>
    <row r="3" spans="1:20" s="70" customFormat="1" x14ac:dyDescent="0.25">
      <c r="A3" s="69"/>
      <c r="B3" s="97" t="s">
        <v>135</v>
      </c>
      <c r="F3" s="71" t="s">
        <v>0</v>
      </c>
      <c r="G3" s="89" t="s">
        <v>130</v>
      </c>
      <c r="H3" s="90"/>
      <c r="I3" s="72"/>
      <c r="J3" s="73"/>
      <c r="L3" s="82"/>
      <c r="M3" s="83"/>
      <c r="N3" s="82"/>
      <c r="O3" s="82"/>
      <c r="P3" s="82"/>
      <c r="Q3" s="82"/>
      <c r="R3" s="83"/>
      <c r="S3" s="82"/>
      <c r="T3" s="82"/>
    </row>
    <row r="4" spans="1:20" s="70" customFormat="1" x14ac:dyDescent="0.25">
      <c r="A4" s="69"/>
      <c r="B4" s="74" t="s">
        <v>136</v>
      </c>
      <c r="F4" s="71" t="s">
        <v>131</v>
      </c>
      <c r="G4" s="89" t="s">
        <v>132</v>
      </c>
      <c r="H4" s="90"/>
      <c r="I4" s="72"/>
      <c r="J4" s="73"/>
      <c r="L4" s="82"/>
      <c r="M4" s="83"/>
      <c r="N4" s="82"/>
      <c r="O4" s="82"/>
      <c r="P4" s="82"/>
      <c r="Q4" s="82"/>
      <c r="R4" s="84"/>
      <c r="S4" s="82"/>
      <c r="T4" s="82"/>
    </row>
    <row r="5" spans="1:20" s="70" customFormat="1" x14ac:dyDescent="0.25">
      <c r="A5" s="69"/>
      <c r="F5" s="71" t="s">
        <v>1</v>
      </c>
      <c r="G5" s="98" t="s">
        <v>138</v>
      </c>
      <c r="H5" s="91"/>
      <c r="I5" s="72"/>
      <c r="J5" s="73"/>
      <c r="L5" s="82"/>
      <c r="M5" s="83"/>
      <c r="N5" s="82"/>
      <c r="O5" s="82"/>
      <c r="P5" s="82"/>
      <c r="Q5" s="82"/>
      <c r="R5" s="85"/>
      <c r="S5" s="82"/>
      <c r="T5" s="82"/>
    </row>
    <row r="6" spans="1:20" s="70" customFormat="1" x14ac:dyDescent="0.25">
      <c r="A6" s="69"/>
      <c r="B6" s="75" t="s">
        <v>133</v>
      </c>
      <c r="C6" s="76"/>
      <c r="D6" s="68"/>
      <c r="E6" s="68"/>
      <c r="F6" s="71" t="s">
        <v>2</v>
      </c>
      <c r="G6" s="92" t="s">
        <v>137</v>
      </c>
      <c r="H6" s="93"/>
      <c r="I6" s="72"/>
      <c r="J6" s="73"/>
      <c r="L6" s="82"/>
      <c r="M6" s="83"/>
      <c r="N6" s="82"/>
      <c r="O6" s="82"/>
      <c r="P6" s="82"/>
      <c r="Q6" s="82"/>
      <c r="R6" s="83"/>
      <c r="S6" s="82"/>
      <c r="T6" s="82"/>
    </row>
    <row r="7" spans="1:20" x14ac:dyDescent="0.25">
      <c r="B7" s="35" t="s">
        <v>3</v>
      </c>
      <c r="C7" s="35"/>
      <c r="D7" s="35"/>
    </row>
    <row r="8" spans="1:20" x14ac:dyDescent="0.25">
      <c r="B8" t="s">
        <v>7</v>
      </c>
      <c r="E8" s="86" t="s">
        <v>4</v>
      </c>
      <c r="F8" s="87"/>
    </row>
    <row r="9" spans="1:20" x14ac:dyDescent="0.25">
      <c r="B9" t="s">
        <v>6</v>
      </c>
      <c r="E9" s="86" t="s">
        <v>8</v>
      </c>
      <c r="F9" s="87"/>
    </row>
    <row r="10" spans="1:20" x14ac:dyDescent="0.25">
      <c r="E10" s="94" t="s">
        <v>106</v>
      </c>
      <c r="F10" s="95"/>
    </row>
    <row r="11" spans="1:20" x14ac:dyDescent="0.25">
      <c r="B11" t="s">
        <v>80</v>
      </c>
      <c r="D11" s="38" t="s">
        <v>118</v>
      </c>
      <c r="E11" s="86">
        <v>6.0960000000000001</v>
      </c>
      <c r="F11" s="87"/>
    </row>
    <row r="12" spans="1:20" x14ac:dyDescent="0.25">
      <c r="E12" s="34"/>
      <c r="F12" s="34"/>
    </row>
    <row r="13" spans="1:20" x14ac:dyDescent="0.25">
      <c r="B13" s="2" t="s">
        <v>4</v>
      </c>
      <c r="F13" s="2" t="s">
        <v>5</v>
      </c>
    </row>
    <row r="14" spans="1:20" x14ac:dyDescent="0.25">
      <c r="B14" t="s">
        <v>15</v>
      </c>
      <c r="D14" s="17">
        <v>52.501800000000003</v>
      </c>
      <c r="E14" s="37" t="s">
        <v>119</v>
      </c>
      <c r="F14" t="s">
        <v>15</v>
      </c>
      <c r="H14" s="40">
        <v>77.927199999999999</v>
      </c>
      <c r="I14" s="38" t="s">
        <v>119</v>
      </c>
    </row>
    <row r="15" spans="1:20" x14ac:dyDescent="0.25">
      <c r="B15" t="s">
        <v>17</v>
      </c>
      <c r="D15" s="17">
        <v>60.325000000000003</v>
      </c>
      <c r="E15" s="38" t="s">
        <v>119</v>
      </c>
    </row>
    <row r="17" spans="2:6" x14ac:dyDescent="0.25">
      <c r="B17" s="35" t="s">
        <v>25</v>
      </c>
      <c r="C17" s="8"/>
      <c r="D17" s="8"/>
      <c r="E17" s="1" t="s">
        <v>20</v>
      </c>
      <c r="F17" s="1" t="s">
        <v>21</v>
      </c>
    </row>
    <row r="18" spans="2:6" x14ac:dyDescent="0.25">
      <c r="B18" t="s">
        <v>18</v>
      </c>
      <c r="D18" s="38" t="s">
        <v>120</v>
      </c>
      <c r="E18" s="17">
        <v>4396.3579</v>
      </c>
      <c r="F18" s="17">
        <v>4535.9237000000003</v>
      </c>
    </row>
    <row r="19" spans="2:6" x14ac:dyDescent="0.25">
      <c r="B19" t="s">
        <v>22</v>
      </c>
      <c r="D19" s="42" t="s">
        <v>121</v>
      </c>
      <c r="E19" s="17">
        <v>65.555555999999996</v>
      </c>
      <c r="F19" s="17">
        <v>15.55556</v>
      </c>
    </row>
    <row r="20" spans="2:6" x14ac:dyDescent="0.25">
      <c r="B20" t="s">
        <v>23</v>
      </c>
      <c r="D20" s="42" t="s">
        <v>121</v>
      </c>
      <c r="E20" s="17">
        <v>54.444400000000002</v>
      </c>
      <c r="F20" s="5">
        <f>(F61-32)*5/9</f>
        <v>28.888950484784331</v>
      </c>
    </row>
    <row r="21" spans="2:6" x14ac:dyDescent="0.25">
      <c r="B21" t="s">
        <v>24</v>
      </c>
      <c r="D21" s="38" t="s">
        <v>122</v>
      </c>
      <c r="E21" s="41">
        <v>2.0481614514877806E-4</v>
      </c>
      <c r="F21" s="41">
        <v>2.0481614514877806E-4</v>
      </c>
    </row>
    <row r="23" spans="2:6" x14ac:dyDescent="0.25">
      <c r="B23" s="35" t="s">
        <v>26</v>
      </c>
      <c r="C23" s="36" t="s">
        <v>109</v>
      </c>
      <c r="D23" s="8"/>
    </row>
    <row r="24" spans="2:6" x14ac:dyDescent="0.25">
      <c r="B24" t="s">
        <v>27</v>
      </c>
      <c r="D24" s="38" t="s">
        <v>123</v>
      </c>
      <c r="E24" s="40">
        <v>775.29363000000001</v>
      </c>
      <c r="F24" s="40">
        <v>760.87701000000004</v>
      </c>
    </row>
    <row r="25" spans="2:6" x14ac:dyDescent="0.25">
      <c r="B25" t="s">
        <v>28</v>
      </c>
      <c r="D25" s="38" t="s">
        <v>29</v>
      </c>
      <c r="E25" s="16">
        <v>2</v>
      </c>
      <c r="F25" s="16">
        <v>0.55000000000000004</v>
      </c>
    </row>
    <row r="26" spans="2:6" x14ac:dyDescent="0.25">
      <c r="B26" t="s">
        <v>30</v>
      </c>
      <c r="D26" s="38" t="s">
        <v>124</v>
      </c>
      <c r="E26" s="16">
        <v>0.52</v>
      </c>
      <c r="F26" s="16">
        <v>0.42</v>
      </c>
    </row>
    <row r="27" spans="2:6" x14ac:dyDescent="0.25">
      <c r="B27" t="s">
        <v>31</v>
      </c>
      <c r="D27" s="38" t="s">
        <v>125</v>
      </c>
      <c r="E27" s="40">
        <v>0.14881638999999999</v>
      </c>
      <c r="F27" s="40">
        <v>0.13691107999999999</v>
      </c>
    </row>
    <row r="28" spans="2:6" x14ac:dyDescent="0.25">
      <c r="B28" t="s">
        <v>32</v>
      </c>
      <c r="D28" s="38" t="s">
        <v>29</v>
      </c>
      <c r="E28" s="16">
        <v>2</v>
      </c>
      <c r="F28" s="16">
        <v>0.55000000000000004</v>
      </c>
    </row>
    <row r="30" spans="2:6" x14ac:dyDescent="0.25">
      <c r="B30" s="35" t="s">
        <v>33</v>
      </c>
      <c r="C30" s="8"/>
      <c r="D30" s="8"/>
      <c r="E30" s="1" t="s">
        <v>20</v>
      </c>
      <c r="F30" s="1" t="s">
        <v>21</v>
      </c>
    </row>
    <row r="31" spans="2:6" x14ac:dyDescent="0.25">
      <c r="B31" t="s">
        <v>34</v>
      </c>
      <c r="D31" s="42" t="s">
        <v>121</v>
      </c>
      <c r="E31" s="19">
        <f>(E72-32)*5/9</f>
        <v>59.999978000000006</v>
      </c>
      <c r="F31" s="27">
        <f>(F72-32)*5/9</f>
        <v>22.222255242392166</v>
      </c>
    </row>
    <row r="32" spans="2:6" x14ac:dyDescent="0.25">
      <c r="B32" t="s">
        <v>44</v>
      </c>
      <c r="D32" s="38" t="s">
        <v>119</v>
      </c>
      <c r="E32" s="43">
        <f>E73*25.4</f>
        <v>52.501800000000003</v>
      </c>
      <c r="F32" s="44">
        <f>F73*25.4</f>
        <v>17.602199999999989</v>
      </c>
    </row>
    <row r="33" spans="2:6" x14ac:dyDescent="0.25">
      <c r="B33" t="s">
        <v>42</v>
      </c>
      <c r="D33" s="38" t="s">
        <v>126</v>
      </c>
      <c r="E33" s="22">
        <f>0.3048*E74</f>
        <v>0.72758887296807129</v>
      </c>
      <c r="F33" s="29">
        <f>0.3048*F74</f>
        <v>0.86640287944152017</v>
      </c>
    </row>
    <row r="34" spans="2:6" x14ac:dyDescent="0.25">
      <c r="B34" t="s">
        <v>46</v>
      </c>
      <c r="D34" s="38" t="s">
        <v>40</v>
      </c>
      <c r="E34" s="22">
        <f>E75</f>
        <v>25.158518874598869</v>
      </c>
      <c r="F34" s="29">
        <f>F75</f>
        <v>6.0740152687025457</v>
      </c>
    </row>
    <row r="35" spans="2:6" x14ac:dyDescent="0.25">
      <c r="B35" t="s">
        <v>47</v>
      </c>
      <c r="D35" s="38" t="s">
        <v>41</v>
      </c>
      <c r="E35" s="23">
        <f t="shared" ref="E35:F37" si="0">E76</f>
        <v>14808.002085207561</v>
      </c>
      <c r="F35" s="30">
        <f t="shared" si="0"/>
        <v>21097.870174643274</v>
      </c>
    </row>
    <row r="36" spans="2:6" x14ac:dyDescent="0.25">
      <c r="B36" t="s">
        <v>77</v>
      </c>
      <c r="E36" s="45" t="str">
        <f t="shared" si="0"/>
        <v>Turbulent</v>
      </c>
      <c r="F36" s="46" t="str">
        <f t="shared" si="0"/>
        <v>Turbulent</v>
      </c>
    </row>
    <row r="37" spans="2:6" x14ac:dyDescent="0.25">
      <c r="B37" t="s">
        <v>78</v>
      </c>
      <c r="E37" s="45" t="str">
        <f t="shared" si="0"/>
        <v>Gnienlinski</v>
      </c>
      <c r="F37" s="46" t="str">
        <f t="shared" si="0"/>
        <v>Gnienlinski</v>
      </c>
    </row>
    <row r="38" spans="2:6" x14ac:dyDescent="0.25">
      <c r="B38" t="s">
        <v>79</v>
      </c>
      <c r="D38" s="38" t="s">
        <v>127</v>
      </c>
      <c r="E38" s="22">
        <f>E79*4.8824276</f>
        <v>524.90380836232282</v>
      </c>
      <c r="F38" s="29">
        <f>F79*4.8824276</f>
        <v>1143.6953210956885</v>
      </c>
    </row>
    <row r="39" spans="2:6" x14ac:dyDescent="0.25">
      <c r="B39" t="s">
        <v>108</v>
      </c>
      <c r="D39" s="38" t="s">
        <v>128</v>
      </c>
      <c r="E39" s="25">
        <f>E80/14.503774</f>
        <v>1.8978722183414214E-2</v>
      </c>
      <c r="F39" s="32">
        <f>F80/14.503774</f>
        <v>7.2579538107251415E-2</v>
      </c>
    </row>
    <row r="40" spans="2:6" x14ac:dyDescent="0.25">
      <c r="B40" t="s">
        <v>97</v>
      </c>
      <c r="D40" s="38" t="s">
        <v>128</v>
      </c>
      <c r="E40" s="25">
        <f>E81/14.503774</f>
        <v>2.1440363845531458E-2</v>
      </c>
      <c r="F40" s="32">
        <f>F81/14.503774</f>
        <v>7.6005170496875399E-2</v>
      </c>
    </row>
    <row r="41" spans="2:6" x14ac:dyDescent="0.25">
      <c r="B41" s="7" t="s">
        <v>107</v>
      </c>
    </row>
    <row r="42" spans="2:6" x14ac:dyDescent="0.25">
      <c r="B42" s="7"/>
    </row>
    <row r="43" spans="2:6" x14ac:dyDescent="0.25">
      <c r="B43" s="35" t="s">
        <v>98</v>
      </c>
      <c r="C43" s="8"/>
      <c r="D43" s="8"/>
    </row>
    <row r="44" spans="2:6" x14ac:dyDescent="0.25">
      <c r="B44" t="s">
        <v>69</v>
      </c>
      <c r="D44" s="42" t="s">
        <v>121</v>
      </c>
      <c r="E44" s="18">
        <f>E85/1.8</f>
        <v>36.420670086400811</v>
      </c>
    </row>
    <row r="45" spans="2:6" x14ac:dyDescent="0.25">
      <c r="B45" t="s">
        <v>102</v>
      </c>
      <c r="D45" s="42" t="s">
        <v>121</v>
      </c>
      <c r="E45" s="22">
        <f>(E86-32)*5/9</f>
        <v>33.00499813533186</v>
      </c>
    </row>
    <row r="46" spans="2:6" x14ac:dyDescent="0.25">
      <c r="B46" t="s">
        <v>103</v>
      </c>
      <c r="D46" s="38" t="s">
        <v>127</v>
      </c>
      <c r="E46" s="22">
        <f>E87*4.8824276</f>
        <v>276.87201151003882</v>
      </c>
    </row>
    <row r="47" spans="2:6" x14ac:dyDescent="0.25">
      <c r="B47" s="2" t="s">
        <v>72</v>
      </c>
      <c r="D47" s="38" t="s">
        <v>129</v>
      </c>
      <c r="E47" s="26">
        <f>E88*0.3048^2</f>
        <v>2.5190027042751835</v>
      </c>
    </row>
    <row r="48" spans="2:6" x14ac:dyDescent="0.25">
      <c r="B48" s="2" t="s">
        <v>53</v>
      </c>
      <c r="D48" s="38" t="s">
        <v>118</v>
      </c>
      <c r="E48" s="26">
        <f>E89*0.3048</f>
        <v>13.291727544044662</v>
      </c>
    </row>
    <row r="49" spans="1:9" x14ac:dyDescent="0.25">
      <c r="B49" t="s">
        <v>104</v>
      </c>
      <c r="E49" s="22">
        <f>E90</f>
        <v>1.0902007500036632</v>
      </c>
    </row>
    <row r="50" spans="1:9" x14ac:dyDescent="0.25">
      <c r="B50" t="s">
        <v>84</v>
      </c>
      <c r="E50" s="18">
        <f>E91</f>
        <v>1</v>
      </c>
    </row>
    <row r="52" spans="1:9" x14ac:dyDescent="0.25">
      <c r="A52" s="48"/>
      <c r="B52" s="49" t="s">
        <v>80</v>
      </c>
      <c r="C52" s="49"/>
      <c r="D52" s="47" t="s">
        <v>81</v>
      </c>
      <c r="E52" s="96">
        <f>E11/0.3048</f>
        <v>20</v>
      </c>
      <c r="F52" s="96"/>
      <c r="G52" s="49"/>
      <c r="H52" s="49"/>
      <c r="I52" s="49"/>
    </row>
    <row r="53" spans="1:9" x14ac:dyDescent="0.25">
      <c r="A53" s="48"/>
      <c r="B53" s="49"/>
      <c r="C53" s="49"/>
      <c r="D53" s="49"/>
      <c r="E53" s="34"/>
      <c r="F53" s="34"/>
      <c r="G53" s="49"/>
      <c r="H53" s="49"/>
      <c r="I53" s="49"/>
    </row>
    <row r="54" spans="1:9" x14ac:dyDescent="0.25">
      <c r="A54" s="48"/>
      <c r="B54" s="50" t="s">
        <v>4</v>
      </c>
      <c r="C54" s="49"/>
      <c r="D54" s="49"/>
      <c r="E54" s="49"/>
      <c r="F54" s="50" t="s">
        <v>5</v>
      </c>
      <c r="G54" s="49"/>
      <c r="H54" s="49"/>
      <c r="I54" s="49"/>
    </row>
    <row r="55" spans="1:9" x14ac:dyDescent="0.25">
      <c r="A55" s="48"/>
      <c r="B55" s="49" t="s">
        <v>15</v>
      </c>
      <c r="C55" s="49"/>
      <c r="D55" s="60">
        <f>D14/25.4</f>
        <v>2.0670000000000002</v>
      </c>
      <c r="E55" s="47" t="s">
        <v>16</v>
      </c>
      <c r="F55" s="49" t="s">
        <v>15</v>
      </c>
      <c r="G55" s="49"/>
      <c r="H55" s="60">
        <f>H14/25.4</f>
        <v>3.0680000000000001</v>
      </c>
      <c r="I55" s="47" t="s">
        <v>16</v>
      </c>
    </row>
    <row r="56" spans="1:9" x14ac:dyDescent="0.25">
      <c r="A56" s="48"/>
      <c r="B56" s="49" t="s">
        <v>17</v>
      </c>
      <c r="C56" s="49"/>
      <c r="D56" s="60">
        <f>D15/25.4</f>
        <v>2.3750000000000004</v>
      </c>
      <c r="E56" s="47" t="s">
        <v>16</v>
      </c>
      <c r="F56" s="49"/>
      <c r="G56" s="49"/>
      <c r="H56" s="49"/>
      <c r="I56" s="49"/>
    </row>
    <row r="57" spans="1:9" x14ac:dyDescent="0.25">
      <c r="A57" s="48"/>
      <c r="B57" s="49"/>
      <c r="C57" s="49"/>
      <c r="D57" s="49"/>
      <c r="E57" s="49"/>
      <c r="F57" s="49"/>
      <c r="G57" s="49"/>
      <c r="H57" s="49"/>
      <c r="I57" s="49"/>
    </row>
    <row r="58" spans="1:9" x14ac:dyDescent="0.25">
      <c r="A58" s="48"/>
      <c r="B58" s="50" t="s">
        <v>25</v>
      </c>
      <c r="C58" s="49"/>
      <c r="D58" s="49"/>
      <c r="E58" s="48" t="s">
        <v>20</v>
      </c>
      <c r="F58" s="48" t="s">
        <v>21</v>
      </c>
      <c r="G58" s="49"/>
      <c r="H58" s="49"/>
      <c r="I58" s="49"/>
    </row>
    <row r="59" spans="1:9" x14ac:dyDescent="0.25">
      <c r="A59" s="48"/>
      <c r="B59" s="49" t="s">
        <v>18</v>
      </c>
      <c r="C59" s="49"/>
      <c r="D59" s="47" t="s">
        <v>19</v>
      </c>
      <c r="E59" s="61">
        <f>E18*2.2046226</f>
        <v>9692.3099840285395</v>
      </c>
      <c r="F59" s="61">
        <f>F18*2.2046226</f>
        <v>9999.9999008956202</v>
      </c>
      <c r="G59" s="49"/>
      <c r="H59" s="49"/>
      <c r="I59" s="49"/>
    </row>
    <row r="60" spans="1:9" x14ac:dyDescent="0.25">
      <c r="A60" s="48"/>
      <c r="B60" s="49" t="s">
        <v>22</v>
      </c>
      <c r="C60" s="49"/>
      <c r="D60" s="47" t="s">
        <v>110</v>
      </c>
      <c r="E60" s="62">
        <f>E19*9/5+32</f>
        <v>150.00000080000001</v>
      </c>
      <c r="F60" s="62">
        <f>F19*9/5+32</f>
        <v>60.000008000000001</v>
      </c>
      <c r="G60" s="49"/>
      <c r="H60" s="49"/>
      <c r="I60" s="49"/>
    </row>
    <row r="61" spans="1:9" x14ac:dyDescent="0.25">
      <c r="A61" s="48"/>
      <c r="B61" s="49" t="s">
        <v>23</v>
      </c>
      <c r="C61" s="49"/>
      <c r="D61" s="47" t="s">
        <v>110</v>
      </c>
      <c r="E61" s="62">
        <f>E20*9/5+32</f>
        <v>129.99992</v>
      </c>
      <c r="F61" s="62">
        <f>F60+E59*E67*(E60-E61)/(F59*F67)</f>
        <v>84.000110872611799</v>
      </c>
      <c r="G61" s="49"/>
      <c r="H61" s="49"/>
      <c r="I61" s="49"/>
    </row>
    <row r="62" spans="1:9" x14ac:dyDescent="0.25">
      <c r="A62" s="48"/>
      <c r="B62" s="49" t="s">
        <v>24</v>
      </c>
      <c r="C62" s="49"/>
      <c r="D62" s="47" t="s">
        <v>111</v>
      </c>
      <c r="E62" s="60">
        <f>E21*4.8824276</f>
        <v>1E-3</v>
      </c>
      <c r="F62" s="60">
        <f>F21*4.8824276</f>
        <v>1E-3</v>
      </c>
      <c r="G62" s="49"/>
      <c r="H62" s="49"/>
      <c r="I62" s="49"/>
    </row>
    <row r="63" spans="1:9" x14ac:dyDescent="0.25">
      <c r="A63" s="48"/>
      <c r="B63" s="49"/>
      <c r="C63" s="49"/>
      <c r="D63" s="49"/>
      <c r="E63" s="49"/>
      <c r="F63" s="49"/>
      <c r="G63" s="49"/>
      <c r="H63" s="49"/>
      <c r="I63" s="49"/>
    </row>
    <row r="64" spans="1:9" x14ac:dyDescent="0.25">
      <c r="A64" s="48"/>
      <c r="B64" s="50" t="s">
        <v>26</v>
      </c>
      <c r="C64" s="51" t="s">
        <v>109</v>
      </c>
      <c r="D64" s="49"/>
      <c r="E64" s="49"/>
      <c r="F64" s="49"/>
      <c r="G64" s="49"/>
      <c r="H64" s="49"/>
      <c r="I64" s="49"/>
    </row>
    <row r="65" spans="1:9" x14ac:dyDescent="0.25">
      <c r="A65" s="48"/>
      <c r="B65" s="49" t="s">
        <v>27</v>
      </c>
      <c r="C65" s="49"/>
      <c r="D65" s="47" t="s">
        <v>112</v>
      </c>
      <c r="E65" s="62">
        <f>E24*0.062427961</f>
        <v>48.400000497188429</v>
      </c>
      <c r="F65" s="62">
        <f>F24*0.062427961</f>
        <v>47.500000306076608</v>
      </c>
      <c r="G65" s="49"/>
      <c r="H65" s="49"/>
      <c r="I65" s="49"/>
    </row>
    <row r="66" spans="1:9" x14ac:dyDescent="0.25">
      <c r="A66" s="48"/>
      <c r="B66" s="49" t="s">
        <v>28</v>
      </c>
      <c r="C66" s="49"/>
      <c r="D66" s="47" t="s">
        <v>29</v>
      </c>
      <c r="E66" s="60">
        <f>E25</f>
        <v>2</v>
      </c>
      <c r="F66" s="60">
        <f>F25</f>
        <v>0.55000000000000004</v>
      </c>
      <c r="G66" s="49"/>
      <c r="H66" s="49"/>
      <c r="I66" s="49"/>
    </row>
    <row r="67" spans="1:9" x14ac:dyDescent="0.25">
      <c r="A67" s="48"/>
      <c r="B67" s="49" t="s">
        <v>30</v>
      </c>
      <c r="C67" s="49"/>
      <c r="D67" s="47" t="s">
        <v>113</v>
      </c>
      <c r="E67" s="60">
        <f>E26</f>
        <v>0.52</v>
      </c>
      <c r="F67" s="60">
        <f>F26</f>
        <v>0.42</v>
      </c>
      <c r="G67" s="49"/>
      <c r="H67" s="49"/>
      <c r="I67" s="49"/>
    </row>
    <row r="68" spans="1:9" x14ac:dyDescent="0.25">
      <c r="A68" s="48"/>
      <c r="B68" s="49" t="s">
        <v>31</v>
      </c>
      <c r="C68" s="49"/>
      <c r="D68" s="47" t="s">
        <v>114</v>
      </c>
      <c r="E68" s="61">
        <f>E27*0.67196898</f>
        <v>9.9999997795582204E-2</v>
      </c>
      <c r="F68" s="61">
        <f>F27*0.67196898</f>
        <v>9.1999998778298397E-2</v>
      </c>
      <c r="G68" s="49"/>
      <c r="H68" s="49"/>
      <c r="I68" s="49"/>
    </row>
    <row r="69" spans="1:9" x14ac:dyDescent="0.25">
      <c r="A69" s="48"/>
      <c r="B69" s="49" t="s">
        <v>32</v>
      </c>
      <c r="C69" s="49"/>
      <c r="D69" s="47" t="s">
        <v>29</v>
      </c>
      <c r="E69" s="60">
        <f>E28</f>
        <v>2</v>
      </c>
      <c r="F69" s="60">
        <f>F28</f>
        <v>0.55000000000000004</v>
      </c>
      <c r="G69" s="49"/>
      <c r="H69" s="49"/>
      <c r="I69" s="49"/>
    </row>
    <row r="70" spans="1:9" x14ac:dyDescent="0.25">
      <c r="A70" s="48"/>
      <c r="B70" s="49"/>
      <c r="C70" s="49"/>
      <c r="D70" s="49"/>
      <c r="E70" s="49"/>
      <c r="F70" s="49"/>
      <c r="G70" s="49"/>
      <c r="H70" s="49"/>
      <c r="I70" s="49"/>
    </row>
    <row r="71" spans="1:9" x14ac:dyDescent="0.25">
      <c r="A71" s="48"/>
      <c r="B71" s="50" t="s">
        <v>33</v>
      </c>
      <c r="C71" s="49"/>
      <c r="D71" s="49"/>
      <c r="E71" s="48" t="s">
        <v>20</v>
      </c>
      <c r="F71" s="48" t="s">
        <v>21</v>
      </c>
      <c r="G71" s="49"/>
      <c r="H71" s="49"/>
      <c r="I71" s="49"/>
    </row>
    <row r="72" spans="1:9" x14ac:dyDescent="0.25">
      <c r="A72" s="48"/>
      <c r="B72" s="49" t="s">
        <v>34</v>
      </c>
      <c r="C72" s="49"/>
      <c r="D72" s="47" t="s">
        <v>110</v>
      </c>
      <c r="E72" s="53">
        <f>(E60+E61)/2</f>
        <v>139.99996040000002</v>
      </c>
      <c r="F72" s="53">
        <f>(F60+F61)/2</f>
        <v>72.000059436305904</v>
      </c>
      <c r="G72" s="49"/>
      <c r="H72" s="49"/>
      <c r="I72" s="49"/>
    </row>
    <row r="73" spans="1:9" x14ac:dyDescent="0.25">
      <c r="A73" s="48"/>
      <c r="B73" s="49" t="s">
        <v>44</v>
      </c>
      <c r="C73" s="49"/>
      <c r="D73" s="47" t="s">
        <v>16</v>
      </c>
      <c r="E73" s="54">
        <f>D117</f>
        <v>2.0670000000000002</v>
      </c>
      <c r="F73" s="54">
        <f>E117</f>
        <v>0.69299999999999962</v>
      </c>
      <c r="G73" s="49"/>
      <c r="H73" s="49"/>
      <c r="I73" s="49"/>
    </row>
    <row r="74" spans="1:9" x14ac:dyDescent="0.25">
      <c r="A74" s="48"/>
      <c r="B74" s="49" t="s">
        <v>42</v>
      </c>
      <c r="C74" s="49"/>
      <c r="D74" s="47" t="s">
        <v>45</v>
      </c>
      <c r="E74" s="55">
        <f>D120</f>
        <v>2.3871026016012835</v>
      </c>
      <c r="F74" s="55">
        <f>E120</f>
        <v>2.8425291320259847</v>
      </c>
      <c r="G74" s="49"/>
      <c r="H74" s="49"/>
      <c r="I74" s="49"/>
    </row>
    <row r="75" spans="1:9" x14ac:dyDescent="0.25">
      <c r="A75" s="48"/>
      <c r="B75" s="49" t="s">
        <v>46</v>
      </c>
      <c r="C75" s="49"/>
      <c r="D75" s="47" t="s">
        <v>40</v>
      </c>
      <c r="E75" s="55">
        <f>D119</f>
        <v>25.158518874598869</v>
      </c>
      <c r="F75" s="55">
        <f>E119</f>
        <v>6.0740152687025457</v>
      </c>
      <c r="G75" s="49"/>
      <c r="H75" s="49"/>
      <c r="I75" s="49"/>
    </row>
    <row r="76" spans="1:9" x14ac:dyDescent="0.25">
      <c r="A76" s="48"/>
      <c r="B76" s="49" t="s">
        <v>47</v>
      </c>
      <c r="C76" s="49"/>
      <c r="D76" s="47" t="s">
        <v>41</v>
      </c>
      <c r="E76" s="56">
        <f>D121</f>
        <v>14808.002085207561</v>
      </c>
      <c r="F76" s="56">
        <f>E121</f>
        <v>21097.870174643274</v>
      </c>
      <c r="G76" s="49"/>
      <c r="H76" s="49"/>
      <c r="I76" s="49"/>
    </row>
    <row r="77" spans="1:9" x14ac:dyDescent="0.25">
      <c r="A77" s="48"/>
      <c r="B77" s="49" t="s">
        <v>77</v>
      </c>
      <c r="C77" s="49"/>
      <c r="D77" s="49"/>
      <c r="E77" s="57" t="str">
        <f>IF(E76&lt;=2300, "Laminar",IF(E76&lt;=10000,"Transient","Turbulent"))</f>
        <v>Turbulent</v>
      </c>
      <c r="F77" s="57" t="str">
        <f>IF(F76&lt;=2300, "Laminar",IF(F76&lt;=10000,"Transient","Turbulent"))</f>
        <v>Turbulent</v>
      </c>
      <c r="G77" s="49"/>
      <c r="H77" s="49"/>
      <c r="I77" s="49"/>
    </row>
    <row r="78" spans="1:9" x14ac:dyDescent="0.25">
      <c r="A78" s="48"/>
      <c r="B78" s="49" t="s">
        <v>78</v>
      </c>
      <c r="C78" s="49"/>
      <c r="D78" s="49"/>
      <c r="E78" s="57" t="str">
        <f>IF(E76&lt;=2300, "Sieder-Tate","Gnienlinski")</f>
        <v>Gnienlinski</v>
      </c>
      <c r="F78" s="57" t="str">
        <f>IF(F76&lt;=2300, "Sieder-Tate","Gnienlinski")</f>
        <v>Gnienlinski</v>
      </c>
      <c r="G78" s="49"/>
      <c r="H78" s="49"/>
      <c r="I78" s="49"/>
    </row>
    <row r="79" spans="1:9" x14ac:dyDescent="0.25">
      <c r="A79" s="48"/>
      <c r="B79" s="49" t="s">
        <v>79</v>
      </c>
      <c r="C79" s="49"/>
      <c r="D79" s="47" t="s">
        <v>115</v>
      </c>
      <c r="E79" s="55">
        <f>AA138</f>
        <v>107.50877460268389</v>
      </c>
      <c r="F79" s="55">
        <f>AB138</f>
        <v>234.24726689151288</v>
      </c>
      <c r="G79" s="49"/>
      <c r="H79" s="49"/>
      <c r="I79" s="49"/>
    </row>
    <row r="80" spans="1:9" x14ac:dyDescent="0.25">
      <c r="A80" s="48"/>
      <c r="B80" s="49" t="s">
        <v>108</v>
      </c>
      <c r="C80" s="49"/>
      <c r="D80" s="47" t="s">
        <v>93</v>
      </c>
      <c r="E80" s="58">
        <f>D166</f>
        <v>0.27526309735702631</v>
      </c>
      <c r="F80" s="58">
        <f>E166</f>
        <v>1.0526772177319623</v>
      </c>
      <c r="G80" s="49"/>
      <c r="H80" s="49"/>
      <c r="I80" s="49"/>
    </row>
    <row r="81" spans="1:9" x14ac:dyDescent="0.25">
      <c r="A81" s="48"/>
      <c r="B81" s="49" t="s">
        <v>97</v>
      </c>
      <c r="C81" s="49"/>
      <c r="D81" s="47" t="s">
        <v>93</v>
      </c>
      <c r="E81" s="58">
        <f>D170</f>
        <v>0.31096619169335915</v>
      </c>
      <c r="F81" s="58">
        <f>E170</f>
        <v>1.1023618157181485</v>
      </c>
      <c r="G81" s="49"/>
      <c r="H81" s="49"/>
      <c r="I81" s="49"/>
    </row>
    <row r="82" spans="1:9" x14ac:dyDescent="0.25">
      <c r="A82" s="48"/>
      <c r="B82" s="52" t="s">
        <v>107</v>
      </c>
      <c r="C82" s="49"/>
      <c r="D82" s="49"/>
      <c r="E82" s="49"/>
      <c r="F82" s="49"/>
      <c r="G82" s="49"/>
      <c r="H82" s="49"/>
      <c r="I82" s="49"/>
    </row>
    <row r="83" spans="1:9" x14ac:dyDescent="0.25">
      <c r="A83" s="48"/>
      <c r="B83" s="52"/>
      <c r="C83" s="49"/>
      <c r="D83" s="49"/>
      <c r="E83" s="49"/>
      <c r="F83" s="49"/>
      <c r="G83" s="49"/>
      <c r="H83" s="49"/>
      <c r="I83" s="49"/>
    </row>
    <row r="84" spans="1:9" x14ac:dyDescent="0.25">
      <c r="A84" s="48"/>
      <c r="B84" s="50" t="s">
        <v>98</v>
      </c>
      <c r="C84" s="49"/>
      <c r="D84" s="49"/>
      <c r="E84" s="49"/>
      <c r="F84" s="49"/>
      <c r="G84" s="49"/>
      <c r="H84" s="49"/>
      <c r="I84" s="49"/>
    </row>
    <row r="85" spans="1:9" x14ac:dyDescent="0.25">
      <c r="A85" s="48"/>
      <c r="B85" s="49" t="s">
        <v>69</v>
      </c>
      <c r="C85" s="49"/>
      <c r="D85" s="47" t="s">
        <v>35</v>
      </c>
      <c r="E85" s="55">
        <f>G97</f>
        <v>65.557206155521456</v>
      </c>
      <c r="F85" s="49"/>
      <c r="G85" s="49"/>
      <c r="H85" s="49"/>
      <c r="I85" s="49"/>
    </row>
    <row r="86" spans="1:9" x14ac:dyDescent="0.25">
      <c r="A86" s="48"/>
      <c r="B86" s="49" t="s">
        <v>102</v>
      </c>
      <c r="C86" s="49"/>
      <c r="D86" s="47" t="s">
        <v>35</v>
      </c>
      <c r="E86" s="55">
        <f>C104</f>
        <v>91.408996643597348</v>
      </c>
      <c r="F86" s="49"/>
      <c r="G86" s="49"/>
      <c r="H86" s="49"/>
      <c r="I86" s="49"/>
    </row>
    <row r="87" spans="1:9" x14ac:dyDescent="0.25">
      <c r="A87" s="48"/>
      <c r="B87" s="49" t="s">
        <v>103</v>
      </c>
      <c r="C87" s="49"/>
      <c r="D87" s="47" t="s">
        <v>116</v>
      </c>
      <c r="E87" s="55">
        <f>AA142</f>
        <v>56.707858097074258</v>
      </c>
      <c r="F87" s="49"/>
      <c r="G87" s="49"/>
      <c r="H87" s="49"/>
      <c r="I87" s="49"/>
    </row>
    <row r="88" spans="1:9" x14ac:dyDescent="0.25">
      <c r="A88" s="48"/>
      <c r="B88" s="50" t="s">
        <v>72</v>
      </c>
      <c r="C88" s="49"/>
      <c r="D88" s="47" t="s">
        <v>117</v>
      </c>
      <c r="E88" s="59">
        <f>D147</f>
        <v>27.114319448267604</v>
      </c>
      <c r="F88" s="49"/>
      <c r="G88" s="49"/>
      <c r="H88" s="49"/>
      <c r="I88" s="49"/>
    </row>
    <row r="89" spans="1:9" x14ac:dyDescent="0.25">
      <c r="A89" s="48"/>
      <c r="B89" s="50" t="s">
        <v>53</v>
      </c>
      <c r="C89" s="49"/>
      <c r="D89" s="47" t="s">
        <v>81</v>
      </c>
      <c r="E89" s="59">
        <f>D146</f>
        <v>43.608030000146528</v>
      </c>
      <c r="F89" s="49"/>
      <c r="G89" s="49"/>
      <c r="H89" s="49"/>
      <c r="I89" s="49"/>
    </row>
    <row r="90" spans="1:9" x14ac:dyDescent="0.25">
      <c r="A90" s="48"/>
      <c r="B90" s="49" t="s">
        <v>104</v>
      </c>
      <c r="C90" s="49"/>
      <c r="D90" s="49"/>
      <c r="E90" s="55">
        <f>D149</f>
        <v>1.0902007500036632</v>
      </c>
      <c r="F90" s="49"/>
      <c r="G90" s="49"/>
      <c r="H90" s="49"/>
      <c r="I90" s="49"/>
    </row>
    <row r="91" spans="1:9" x14ac:dyDescent="0.25">
      <c r="A91" s="48"/>
      <c r="B91" s="49" t="s">
        <v>84</v>
      </c>
      <c r="C91" s="49"/>
      <c r="D91" s="49"/>
      <c r="E91" s="55">
        <f>D150</f>
        <v>1</v>
      </c>
      <c r="F91" s="49"/>
      <c r="G91" s="49"/>
      <c r="H91" s="49"/>
      <c r="I91" s="49"/>
    </row>
    <row r="92" spans="1:9" x14ac:dyDescent="0.25">
      <c r="A92" s="48"/>
      <c r="B92" s="49"/>
      <c r="C92" s="49"/>
      <c r="D92" s="49"/>
      <c r="E92" s="49"/>
      <c r="F92" s="49"/>
      <c r="G92" s="49"/>
      <c r="H92" s="49"/>
      <c r="I92" s="49"/>
    </row>
    <row r="94" spans="1:9" x14ac:dyDescent="0.25">
      <c r="B94" t="s">
        <v>65</v>
      </c>
      <c r="C94" s="9">
        <f>F60</f>
        <v>60.000008000000001</v>
      </c>
      <c r="D94" s="9">
        <f>C94</f>
        <v>60.000008000000001</v>
      </c>
      <c r="F94" t="s">
        <v>69</v>
      </c>
    </row>
    <row r="95" spans="1:9" x14ac:dyDescent="0.25">
      <c r="B95" t="s">
        <v>66</v>
      </c>
      <c r="C95" s="9">
        <f>F61</f>
        <v>84.000110872611799</v>
      </c>
      <c r="D95" s="9">
        <f>IF(C95=C94,C95+0.000002,C95)</f>
        <v>84.000110872611799</v>
      </c>
      <c r="F95" t="s">
        <v>70</v>
      </c>
      <c r="G95" s="10">
        <f>((D96-D95)-(D97-D94))/LN((D96-D95)/(D97-D94))</f>
        <v>67.980288350283004</v>
      </c>
    </row>
    <row r="96" spans="1:9" x14ac:dyDescent="0.25">
      <c r="B96" t="s">
        <v>67</v>
      </c>
      <c r="C96" s="9">
        <f>E60</f>
        <v>150.00000080000001</v>
      </c>
      <c r="D96" s="9">
        <f>IF(OR((C96=C97),((C96-C95)=(C97-C94))),C96+0.000001,C96)</f>
        <v>150.00000080000001</v>
      </c>
      <c r="F96" t="s">
        <v>71</v>
      </c>
      <c r="G96" s="10">
        <f>((D96-D94)-(D97-D95))/LN((D96-D94)/(D97-D95))</f>
        <v>65.557206155521456</v>
      </c>
    </row>
    <row r="97" spans="2:8" x14ac:dyDescent="0.25">
      <c r="B97" t="s">
        <v>68</v>
      </c>
      <c r="C97" s="9">
        <f>E61</f>
        <v>129.99992</v>
      </c>
      <c r="D97" s="9">
        <f>C97</f>
        <v>129.99992</v>
      </c>
      <c r="F97" t="s">
        <v>14</v>
      </c>
      <c r="G97" s="10">
        <f>IF(E10="Counter-current",G95,G96)</f>
        <v>65.557206155521456</v>
      </c>
    </row>
    <row r="99" spans="2:8" x14ac:dyDescent="0.25">
      <c r="B99" t="s">
        <v>64</v>
      </c>
      <c r="C99" s="10" t="s">
        <v>105</v>
      </c>
      <c r="D99" s="10">
        <v>1</v>
      </c>
    </row>
    <row r="100" spans="2:8" x14ac:dyDescent="0.25">
      <c r="C100" s="10" t="s">
        <v>106</v>
      </c>
      <c r="D100" s="10">
        <v>2</v>
      </c>
    </row>
    <row r="102" spans="2:8" x14ac:dyDescent="0.25">
      <c r="B102" t="s">
        <v>99</v>
      </c>
      <c r="C102" s="9">
        <f>AA141</f>
        <v>107.50877460268389</v>
      </c>
    </row>
    <row r="103" spans="2:8" x14ac:dyDescent="0.25">
      <c r="B103" t="s">
        <v>100</v>
      </c>
      <c r="C103" s="9">
        <f>AB141</f>
        <v>234.24726689151288</v>
      </c>
    </row>
    <row r="104" spans="2:8" x14ac:dyDescent="0.25">
      <c r="B104" t="s">
        <v>101</v>
      </c>
      <c r="C104" s="9">
        <f>(C102*H118+C103*I118*D124)/(C102+C103*D124)</f>
        <v>91.408996643597348</v>
      </c>
    </row>
    <row r="106" spans="2:8" x14ac:dyDescent="0.25">
      <c r="B106" t="s">
        <v>7</v>
      </c>
      <c r="D106" s="10" t="s">
        <v>4</v>
      </c>
      <c r="E106" s="10">
        <v>1</v>
      </c>
      <c r="G106" t="s">
        <v>14</v>
      </c>
      <c r="H106" s="10">
        <f>VLOOKUP(E8,D106:E107,2)</f>
        <v>1</v>
      </c>
    </row>
    <row r="107" spans="2:8" x14ac:dyDescent="0.25">
      <c r="D107" s="10" t="s">
        <v>5</v>
      </c>
      <c r="E107" s="10">
        <v>2</v>
      </c>
    </row>
    <row r="109" spans="2:8" x14ac:dyDescent="0.25">
      <c r="B109" t="s">
        <v>6</v>
      </c>
      <c r="D109" s="10" t="s">
        <v>8</v>
      </c>
      <c r="E109" s="10">
        <v>26</v>
      </c>
      <c r="G109" t="s">
        <v>14</v>
      </c>
      <c r="H109" s="10">
        <f>VLOOKUP(E9,D109:E114,2)</f>
        <v>26</v>
      </c>
    </row>
    <row r="110" spans="2:8" x14ac:dyDescent="0.25">
      <c r="D110" s="10" t="s">
        <v>9</v>
      </c>
      <c r="E110" s="10">
        <v>218</v>
      </c>
    </row>
    <row r="111" spans="2:8" x14ac:dyDescent="0.25">
      <c r="D111" s="10" t="s">
        <v>10</v>
      </c>
      <c r="E111" s="10">
        <v>8.6999999999999993</v>
      </c>
    </row>
    <row r="112" spans="2:8" x14ac:dyDescent="0.25">
      <c r="D112" s="10" t="s">
        <v>11</v>
      </c>
      <c r="E112" s="10">
        <v>14.3</v>
      </c>
    </row>
    <row r="113" spans="2:9" x14ac:dyDescent="0.25">
      <c r="D113" s="10" t="s">
        <v>12</v>
      </c>
      <c r="E113" s="10">
        <v>35</v>
      </c>
    </row>
    <row r="114" spans="2:9" x14ac:dyDescent="0.25">
      <c r="D114" s="10" t="s">
        <v>13</v>
      </c>
      <c r="E114" s="10">
        <v>9.1</v>
      </c>
    </row>
    <row r="116" spans="2:9" x14ac:dyDescent="0.25">
      <c r="B116" t="s">
        <v>33</v>
      </c>
      <c r="D116" t="s">
        <v>36</v>
      </c>
      <c r="E116" t="s">
        <v>37</v>
      </c>
      <c r="H116" t="s">
        <v>49</v>
      </c>
      <c r="I116" t="s">
        <v>50</v>
      </c>
    </row>
    <row r="117" spans="2:9" x14ac:dyDescent="0.25">
      <c r="B117" t="s">
        <v>38</v>
      </c>
      <c r="D117" s="10">
        <f>IF(H106=1,D55,(H55-D56))</f>
        <v>2.0670000000000002</v>
      </c>
      <c r="E117" s="10">
        <f>IF(H106=1,H55-D56,D55)</f>
        <v>0.69299999999999962</v>
      </c>
      <c r="G117" t="s">
        <v>51</v>
      </c>
      <c r="H117" s="10">
        <f>IF(H106=1,$E$62,$F$62)</f>
        <v>1E-3</v>
      </c>
      <c r="I117" s="10">
        <f>IF(H106=2,$E$62,$F$62)</f>
        <v>1E-3</v>
      </c>
    </row>
    <row r="118" spans="2:9" x14ac:dyDescent="0.25">
      <c r="B118" t="s">
        <v>39</v>
      </c>
      <c r="D118" s="13">
        <f>IF(H106=1,PI()*($D$55^2)/(4*12*12),PI()*($H$55^2-$D$56^2)/(4*12*12))</f>
        <v>2.3302812595387509E-2</v>
      </c>
      <c r="E118" s="13">
        <f>IF(H106=2,PI()*($D$55^2)/(4*12*12),PI()*($H$55^2-$D$56^2)/(4*12*12))</f>
        <v>2.0573063103729243E-2</v>
      </c>
      <c r="G118" t="s">
        <v>52</v>
      </c>
      <c r="H118" s="10">
        <f>IF(H106=1,$E$72,$F$72)</f>
        <v>139.99996040000002</v>
      </c>
      <c r="I118" s="10">
        <f>IF(H106=2,$E$72,$F$72)</f>
        <v>72.000059436305904</v>
      </c>
    </row>
    <row r="119" spans="2:9" x14ac:dyDescent="0.25">
      <c r="B119" t="s">
        <v>40</v>
      </c>
      <c r="D119" s="9">
        <f>E67*E66*2.4190883/E68</f>
        <v>25.158518874598869</v>
      </c>
      <c r="E119" s="9">
        <f>F67*F66*2.4190883/F68</f>
        <v>6.0740152687025457</v>
      </c>
    </row>
    <row r="120" spans="2:9" x14ac:dyDescent="0.25">
      <c r="B120" t="s">
        <v>42</v>
      </c>
      <c r="D120" s="9">
        <f>(E59/(3600*E65))/D118</f>
        <v>2.3871026016012835</v>
      </c>
      <c r="E120" s="9">
        <f>(F59/(3600*F65))/E118</f>
        <v>2.8425291320259847</v>
      </c>
    </row>
    <row r="121" spans="2:9" x14ac:dyDescent="0.25">
      <c r="B121" t="s">
        <v>43</v>
      </c>
      <c r="D121" s="14">
        <f>(D117/12)*D120*E65/(E66*2.4190883/3600)</f>
        <v>14808.002085207561</v>
      </c>
      <c r="E121" s="14">
        <f>(E117/12)*E120*F65/(F66*2.4190883/3600)</f>
        <v>21097.870174643274</v>
      </c>
    </row>
    <row r="122" spans="2:9" x14ac:dyDescent="0.25">
      <c r="B122" t="s">
        <v>59</v>
      </c>
      <c r="D122" s="14">
        <f>(E66/E69)^0.14</f>
        <v>1</v>
      </c>
      <c r="E122" s="14">
        <f>(F66/F69)^0.14</f>
        <v>1</v>
      </c>
    </row>
    <row r="123" spans="2:9" x14ac:dyDescent="0.25">
      <c r="B123" t="s">
        <v>48</v>
      </c>
      <c r="D123" s="11">
        <f>(D56/12)*LN(D56/D55)/2/H109</f>
        <v>5.2866265604016333E-4</v>
      </c>
      <c r="E123" s="10"/>
    </row>
    <row r="124" spans="2:9" x14ac:dyDescent="0.25">
      <c r="B124" t="s">
        <v>62</v>
      </c>
      <c r="D124" s="12">
        <f>D56/D55</f>
        <v>1.1490082244799227</v>
      </c>
      <c r="E124" s="10"/>
    </row>
    <row r="125" spans="2:9" x14ac:dyDescent="0.25">
      <c r="B125" t="s">
        <v>69</v>
      </c>
      <c r="D125" s="12">
        <f>G97</f>
        <v>65.557206155521456</v>
      </c>
      <c r="E125" s="10"/>
    </row>
    <row r="126" spans="2:9" x14ac:dyDescent="0.25">
      <c r="B126" t="s">
        <v>73</v>
      </c>
      <c r="D126" s="15">
        <f>E59*E67*(E60-E61)</f>
        <v>100800.43106599314</v>
      </c>
      <c r="E126" s="10"/>
    </row>
    <row r="127" spans="2:9" x14ac:dyDescent="0.25">
      <c r="B127" t="s">
        <v>74</v>
      </c>
      <c r="D127" s="12">
        <f>D56/12</f>
        <v>0.19791666666666671</v>
      </c>
      <c r="E127" s="10"/>
    </row>
    <row r="128" spans="2:9" x14ac:dyDescent="0.25">
      <c r="D128" s="3"/>
    </row>
    <row r="129" spans="1:28" x14ac:dyDescent="0.25">
      <c r="B129" t="s">
        <v>75</v>
      </c>
      <c r="D129" s="6">
        <v>1</v>
      </c>
      <c r="G129" s="6">
        <v>2</v>
      </c>
      <c r="I129">
        <v>3</v>
      </c>
      <c r="K129">
        <v>4</v>
      </c>
      <c r="M129">
        <v>5</v>
      </c>
      <c r="O129">
        <v>6</v>
      </c>
      <c r="Q129">
        <v>7</v>
      </c>
      <c r="S129">
        <v>8</v>
      </c>
      <c r="U129">
        <v>9</v>
      </c>
      <c r="W129">
        <v>10</v>
      </c>
      <c r="Y129">
        <v>11</v>
      </c>
      <c r="AA129">
        <v>12</v>
      </c>
    </row>
    <row r="130" spans="1:28" x14ac:dyDescent="0.25">
      <c r="C130" t="s">
        <v>20</v>
      </c>
      <c r="D130" t="s">
        <v>21</v>
      </c>
      <c r="E130" t="s">
        <v>20</v>
      </c>
      <c r="F130" t="s">
        <v>21</v>
      </c>
      <c r="G130" t="s">
        <v>20</v>
      </c>
      <c r="H130" t="s">
        <v>21</v>
      </c>
      <c r="I130" t="s">
        <v>20</v>
      </c>
      <c r="J130" t="s">
        <v>21</v>
      </c>
      <c r="K130" t="s">
        <v>20</v>
      </c>
      <c r="L130" t="s">
        <v>21</v>
      </c>
      <c r="M130" t="s">
        <v>20</v>
      </c>
      <c r="N130" t="s">
        <v>21</v>
      </c>
      <c r="O130" t="s">
        <v>20</v>
      </c>
      <c r="P130" t="s">
        <v>21</v>
      </c>
      <c r="Q130" t="s">
        <v>20</v>
      </c>
      <c r="R130" t="s">
        <v>21</v>
      </c>
      <c r="S130" t="s">
        <v>20</v>
      </c>
      <c r="T130" t="s">
        <v>21</v>
      </c>
      <c r="U130" t="s">
        <v>20</v>
      </c>
      <c r="V130" t="s">
        <v>21</v>
      </c>
      <c r="W130" t="s">
        <v>20</v>
      </c>
      <c r="X130" t="s">
        <v>21</v>
      </c>
      <c r="Y130" t="s">
        <v>20</v>
      </c>
      <c r="Z130" t="s">
        <v>21</v>
      </c>
      <c r="AA130" t="s">
        <v>20</v>
      </c>
      <c r="AB130" t="s">
        <v>21</v>
      </c>
    </row>
    <row r="131" spans="1:28" x14ac:dyDescent="0.25">
      <c r="B131" t="s">
        <v>53</v>
      </c>
      <c r="C131" s="10">
        <v>200.05316999999999</v>
      </c>
      <c r="D131" s="10">
        <f>C131</f>
        <v>200.05316999999999</v>
      </c>
      <c r="E131" s="10">
        <f>C144</f>
        <v>44.10631038943027</v>
      </c>
      <c r="F131" s="10">
        <f>E131</f>
        <v>44.10631038943027</v>
      </c>
      <c r="G131" s="10">
        <f>E144</f>
        <v>43.613842026498105</v>
      </c>
      <c r="H131" s="10">
        <f>G131</f>
        <v>43.613842026498105</v>
      </c>
      <c r="I131" s="10">
        <f>G144</f>
        <v>43.608098418708273</v>
      </c>
      <c r="J131" s="10">
        <f>I131</f>
        <v>43.608098418708273</v>
      </c>
      <c r="K131" s="10">
        <f>I144</f>
        <v>43.608030805649449</v>
      </c>
      <c r="L131" s="10">
        <f>K131</f>
        <v>43.608030805649449</v>
      </c>
      <c r="M131" s="10">
        <f>K144</f>
        <v>43.60803000962985</v>
      </c>
      <c r="N131" s="10">
        <f>M131</f>
        <v>43.60803000962985</v>
      </c>
      <c r="O131" s="10">
        <f>M144</f>
        <v>43.608030000258175</v>
      </c>
      <c r="P131" s="10">
        <f>O131</f>
        <v>43.608030000258175</v>
      </c>
      <c r="Q131" s="10">
        <f>O144</f>
        <v>43.608030000147842</v>
      </c>
      <c r="R131" s="10">
        <f>Q131</f>
        <v>43.608030000147842</v>
      </c>
      <c r="S131" s="10">
        <f>Q144</f>
        <v>43.608030000146542</v>
      </c>
      <c r="T131" s="10">
        <f>S131</f>
        <v>43.608030000146542</v>
      </c>
      <c r="U131" s="10">
        <f>S144</f>
        <v>43.608030000146528</v>
      </c>
      <c r="V131" s="10">
        <f>U131</f>
        <v>43.608030000146528</v>
      </c>
      <c r="W131" s="10">
        <f>U144</f>
        <v>43.608030000146528</v>
      </c>
      <c r="X131" s="10">
        <f>W131</f>
        <v>43.608030000146528</v>
      </c>
      <c r="Y131" s="10">
        <f>W144</f>
        <v>43.608030000146528</v>
      </c>
      <c r="Z131" s="10">
        <f>Y131</f>
        <v>43.608030000146528</v>
      </c>
      <c r="AA131" s="10">
        <f>Y144</f>
        <v>43.608030000146528</v>
      </c>
      <c r="AB131" s="10">
        <f>AA131</f>
        <v>43.608030000146528</v>
      </c>
    </row>
    <row r="132" spans="1:28" x14ac:dyDescent="0.25">
      <c r="B132" t="s">
        <v>54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 x14ac:dyDescent="0.25">
      <c r="B133" t="s">
        <v>55</v>
      </c>
      <c r="C133" s="12">
        <f>(0.782*LN($D$121)-1.51)^-2</f>
        <v>2.7782539666371481E-2</v>
      </c>
      <c r="D133" s="12">
        <f>(0.782*LN($E$121)-1.51)^-2</f>
        <v>2.5385763532569581E-2</v>
      </c>
      <c r="E133" s="12">
        <f>(0.782*LN($D$121)-1.51)^-2</f>
        <v>2.7782539666371481E-2</v>
      </c>
      <c r="F133" s="12">
        <f>(0.782*LN($E$121)-1.51)^-2</f>
        <v>2.5385763532569581E-2</v>
      </c>
      <c r="G133" s="12">
        <f>(0.782*LN($D$121)-1.51)^-2</f>
        <v>2.7782539666371481E-2</v>
      </c>
      <c r="H133" s="12">
        <f>(0.782*LN($E$121)-1.51)^-2</f>
        <v>2.5385763532569581E-2</v>
      </c>
      <c r="I133" s="12">
        <f>(0.782*LN($D$121)-1.51)^-2</f>
        <v>2.7782539666371481E-2</v>
      </c>
      <c r="J133" s="12">
        <f>(0.782*LN($E$121)-1.51)^-2</f>
        <v>2.5385763532569581E-2</v>
      </c>
      <c r="K133" s="12">
        <f>(0.782*LN($D$121)-1.51)^-2</f>
        <v>2.7782539666371481E-2</v>
      </c>
      <c r="L133" s="12">
        <f>(0.782*LN($E$121)-1.51)^-2</f>
        <v>2.5385763532569581E-2</v>
      </c>
      <c r="M133" s="12">
        <f>(0.782*LN($D$121)-1.51)^-2</f>
        <v>2.7782539666371481E-2</v>
      </c>
      <c r="N133" s="12">
        <f>(0.782*LN($E$121)-1.51)^-2</f>
        <v>2.5385763532569581E-2</v>
      </c>
      <c r="O133" s="12">
        <f>(0.782*LN($D$121)-1.51)^-2</f>
        <v>2.7782539666371481E-2</v>
      </c>
      <c r="P133" s="12">
        <f>(0.782*LN($E$121)-1.51)^-2</f>
        <v>2.5385763532569581E-2</v>
      </c>
      <c r="Q133" s="12">
        <f>(0.782*LN($D$121)-1.51)^-2</f>
        <v>2.7782539666371481E-2</v>
      </c>
      <c r="R133" s="12">
        <f>(0.782*LN($E$121)-1.51)^-2</f>
        <v>2.5385763532569581E-2</v>
      </c>
      <c r="S133" s="12">
        <f>(0.782*LN($D$121)-1.51)^-2</f>
        <v>2.7782539666371481E-2</v>
      </c>
      <c r="T133" s="12">
        <f>(0.782*LN($E$121)-1.51)^-2</f>
        <v>2.5385763532569581E-2</v>
      </c>
      <c r="U133" s="12">
        <f>(0.782*LN($D$121)-1.51)^-2</f>
        <v>2.7782539666371481E-2</v>
      </c>
      <c r="V133" s="12">
        <f>(0.782*LN($E$121)-1.51)^-2</f>
        <v>2.5385763532569581E-2</v>
      </c>
      <c r="W133" s="12">
        <f>(0.782*LN($D$121)-1.51)^-2</f>
        <v>2.7782539666371481E-2</v>
      </c>
      <c r="X133" s="12">
        <f>(0.782*LN($E$121)-1.51)^-2</f>
        <v>2.5385763532569581E-2</v>
      </c>
      <c r="Y133" s="12">
        <f>(0.782*LN($D$121)-1.51)^-2</f>
        <v>2.7782539666371481E-2</v>
      </c>
      <c r="Z133" s="12">
        <f>(0.782*LN($E$121)-1.51)^-2</f>
        <v>2.5385763532569581E-2</v>
      </c>
      <c r="AA133" s="12">
        <f>(0.782*LN($D$121)-1.51)^-2</f>
        <v>2.7782539666371481E-2</v>
      </c>
      <c r="AB133" s="12">
        <f>(0.782*LN($E$121)-1.51)^-2</f>
        <v>2.5385763532569581E-2</v>
      </c>
    </row>
    <row r="134" spans="1:28" x14ac:dyDescent="0.25">
      <c r="B134" t="s">
        <v>56</v>
      </c>
      <c r="C134" s="9">
        <f>(C133/8)*($D$121-1000)*$D$119*(1+($D$117/12/C131)^(2/3))/( 1+12.7*(C133/8)^0.5*($D$119^(2/3)-1))</f>
        <v>182.30449427645752</v>
      </c>
      <c r="D134" s="9">
        <f>(D133/8)*($E$121-1000)*$E$119*(1+($E$117/12/D131)^(2/3))/( 1+12.7*(D133/8)^0.5*($E$119^(2/3)-1))</f>
        <v>145.92360067302695</v>
      </c>
      <c r="E134" s="9">
        <f>(E133/8)*($D$121-1000)*$D$119*(1+($D$117/12/E131)^(2/3))/( 1+12.7*(E133/8)^0.5*($D$119^(2/3)-1))</f>
        <v>185.14980275138311</v>
      </c>
      <c r="F134" s="9">
        <f>(F133/8)*($E$121-1000)*$E$119*(1+($E$117/12/F131)^(2/3))/( 1+12.7*(F133/8)^0.5*($E$119^(2/3)-1))</f>
        <v>147.02786439869658</v>
      </c>
      <c r="G134" s="9">
        <f>(G133/8)*($D$121-1000)*$D$119*(1+($D$117/12/G131)^(2/3))/( 1+12.7*(G133/8)^0.5*($D$119^(2/3)-1))</f>
        <v>185.18346725205976</v>
      </c>
      <c r="H134" s="9">
        <f>(H133/8)*($E$121-1000)*$E$119*(1+($E$117/12/H131)^(2/3))/( 1+12.7*(H133/8)^0.5*($E$119^(2/3)-1))</f>
        <v>147.04092958557092</v>
      </c>
      <c r="I134" s="9">
        <f>(I133/8)*($D$121-1000)*$D$119*(1+($D$117/12/I131)^(2/3))/( 1+12.7*(I133/8)^0.5*($D$119^(2/3)-1))</f>
        <v>185.18386361332074</v>
      </c>
      <c r="J134" s="9">
        <f>(J133/8)*($E$121-1000)*$E$119*(1+($E$117/12/J131)^(2/3))/( 1+12.7*(J133/8)^0.5*($E$119^(2/3)-1))</f>
        <v>147.04108341330758</v>
      </c>
      <c r="K134" s="9">
        <f>(K133/8)*($D$121-1000)*$D$119*(1+($D$117/12/K131)^(2/3))/( 1+12.7*(K133/8)^0.5*($D$119^(2/3)-1))</f>
        <v>185.18386827975593</v>
      </c>
      <c r="L134" s="9">
        <f>(L133/8)*($E$121-1000)*$E$119*(1+($E$117/12/L131)^(2/3))/( 1+12.7*(L133/8)^0.5*($E$119^(2/3)-1))</f>
        <v>147.04108522435024</v>
      </c>
      <c r="M134" s="9">
        <f>(M133/8)*($D$121-1000)*$D$119*(1+($D$117/12/M131)^(2/3))/( 1+12.7*(M133/8)^0.5*($D$119^(2/3)-1))</f>
        <v>185.18386833469467</v>
      </c>
      <c r="N134" s="9">
        <f>(N133/8)*($E$121-1000)*$E$119*(1+($E$117/12/N131)^(2/3))/( 1+12.7*(N133/8)^0.5*($E$119^(2/3)-1))</f>
        <v>147.04108524567198</v>
      </c>
      <c r="O134" s="9">
        <f>(O133/8)*($D$121-1000)*$D$119*(1+($D$117/12/O131)^(2/3))/( 1+12.7*(O133/8)^0.5*($D$119^(2/3)-1))</f>
        <v>185.18386833534146</v>
      </c>
      <c r="P134" s="9">
        <f>(P133/8)*($E$121-1000)*$E$119*(1+($E$117/12/P131)^(2/3))/( 1+12.7*(P133/8)^0.5*($E$119^(2/3)-1))</f>
        <v>147.041085245923</v>
      </c>
      <c r="Q134" s="9">
        <f>(Q133/8)*($D$121-1000)*$D$119*(1+($D$117/12/Q131)^(2/3))/( 1+12.7*(Q133/8)^0.5*($D$119^(2/3)-1))</f>
        <v>185.1838683353491</v>
      </c>
      <c r="R134" s="9">
        <f>(R133/8)*($E$121-1000)*$E$119*(1+($E$117/12/R131)^(2/3))/( 1+12.7*(R133/8)^0.5*($E$119^(2/3)-1))</f>
        <v>147.04108524592596</v>
      </c>
      <c r="S134" s="9">
        <f>(S133/8)*($D$121-1000)*$D$119*(1+($D$117/12/S131)^(2/3))/( 1+12.7*(S133/8)^0.5*($D$119^(2/3)-1))</f>
        <v>185.18386833534916</v>
      </c>
      <c r="T134" s="9">
        <f>(T133/8)*($E$121-1000)*$E$119*(1+($E$117/12/T131)^(2/3))/( 1+12.7*(T133/8)^0.5*($E$119^(2/3)-1))</f>
        <v>147.04108524592598</v>
      </c>
      <c r="U134" s="9">
        <f>(U133/8)*($D$121-1000)*$D$119*(1+($D$117/12/U131)^(2/3))/( 1+12.7*(U133/8)^0.5*($D$119^(2/3)-1))</f>
        <v>185.18386833534916</v>
      </c>
      <c r="V134" s="9">
        <f>(V133/8)*($E$121-1000)*$E$119*(1+($E$117/12/V131)^(2/3))/( 1+12.7*(V133/8)^0.5*($E$119^(2/3)-1))</f>
        <v>147.04108524592598</v>
      </c>
      <c r="W134" s="9">
        <f>(W133/8)*($D$121-1000)*$D$119*(1+($D$117/12/W131)^(2/3))/( 1+12.7*(W133/8)^0.5*($D$119^(2/3)-1))</f>
        <v>185.18386833534916</v>
      </c>
      <c r="X134" s="9">
        <f>(X133/8)*($E$121-1000)*$E$119*(1+($E$117/12/X131)^(2/3))/( 1+12.7*(X133/8)^0.5*($E$119^(2/3)-1))</f>
        <v>147.04108524592598</v>
      </c>
      <c r="Y134" s="9">
        <f>(Y133/8)*($D$121-1000)*$D$119*(1+($D$117/12/Y131)^(2/3))/( 1+12.7*(Y133/8)^0.5*($D$119^(2/3)-1))</f>
        <v>185.18386833534916</v>
      </c>
      <c r="Z134" s="9">
        <f>(Z133/8)*($E$121-1000)*$E$119*(1+($E$117/12/Z131)^(2/3))/( 1+12.7*(Z133/8)^0.5*($E$119^(2/3)-1))</f>
        <v>147.04108524592598</v>
      </c>
      <c r="AA134" s="9">
        <f>(AA133/8)*($D$121-1000)*$D$119*(1+($D$117/12/AA131)^(2/3))/( 1+12.7*(AA133/8)^0.5*($D$119^(2/3)-1))</f>
        <v>185.18386833534916</v>
      </c>
      <c r="AB134" s="9">
        <f>(AB133/8)*($E$121-1000)*$E$119*(1+($E$117/12/AB131)^(2/3))/( 1+12.7*(AB133/8)^0.5*($E$119^(2/3)-1))</f>
        <v>147.04108524592598</v>
      </c>
    </row>
    <row r="135" spans="1:28" x14ac:dyDescent="0.25"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1:28" x14ac:dyDescent="0.25">
      <c r="B136" t="s">
        <v>57</v>
      </c>
      <c r="C136" s="9">
        <f>1.86*($D$121*$D$119*($D$117/12)/C131)^(1/3)</f>
        <v>12.732432647166261</v>
      </c>
      <c r="D136" s="9">
        <f>1.86*($E$121*$E$119*($E$117/12)/D131)^(1/3)</f>
        <v>6.1975488628881754</v>
      </c>
      <c r="E136" s="9">
        <f>1.86*($D$121*$D$119*($D$117/12)/E131)^(1/3)</f>
        <v>21.076231338533081</v>
      </c>
      <c r="F136" s="9">
        <f>1.86*($E$121*$E$119*($E$117/12)/F131)^(1/3)</f>
        <v>10.258917300863551</v>
      </c>
      <c r="G136" s="9">
        <f>1.86*($D$121*$D$119*($D$117/12)/G131)^(1/3)</f>
        <v>21.155262470578862</v>
      </c>
      <c r="H136" s="9">
        <f>1.86*($E$121*$E$119*($E$117/12)/H131)^(1/3)</f>
        <v>10.297385935736092</v>
      </c>
      <c r="I136" s="9">
        <f>1.86*($D$121*$D$119*($D$117/12)/I131)^(1/3)</f>
        <v>21.156191213943412</v>
      </c>
      <c r="J136" s="9">
        <f>1.86*($E$121*$E$119*($E$117/12)/J131)^(1/3)</f>
        <v>10.297838004287511</v>
      </c>
      <c r="K136" s="9">
        <f>1.86*($D$121*$D$119*($D$117/12)/K131)^(1/3)</f>
        <v>21.156202147969672</v>
      </c>
      <c r="L136" s="9">
        <f>1.86*($E$121*$E$119*($E$117/12)/L131)^(1/3)</f>
        <v>10.297843326456801</v>
      </c>
      <c r="M136" s="9">
        <f>1.86*($D$121*$D$119*($D$117/12)/M131)^(1/3)</f>
        <v>21.156202276697883</v>
      </c>
      <c r="N136" s="9">
        <f>1.86*($E$121*$E$119*($E$117/12)/N131)^(1/3)</f>
        <v>10.297843389115634</v>
      </c>
      <c r="O136" s="9">
        <f>1.86*($D$121*$D$119*($D$117/12)/O131)^(1/3)</f>
        <v>21.156202278213417</v>
      </c>
      <c r="P136" s="9">
        <f>1.86*($E$121*$E$119*($E$117/12)/P131)^(1/3)</f>
        <v>10.297843389853329</v>
      </c>
      <c r="Q136" s="9">
        <f>1.86*($D$121*$D$119*($D$117/12)/Q131)^(1/3)</f>
        <v>21.156202278231259</v>
      </c>
      <c r="R136" s="9">
        <f>1.86*($E$121*$E$119*($E$117/12)/R131)^(1/3)</f>
        <v>10.297843389862013</v>
      </c>
      <c r="S136" s="9">
        <f>1.86*($D$121*$D$119*($D$117/12)/S131)^(1/3)</f>
        <v>21.156202278231476</v>
      </c>
      <c r="T136" s="9">
        <f>1.86*($E$121*$E$119*($E$117/12)/T131)^(1/3)</f>
        <v>10.297843389862114</v>
      </c>
      <c r="U136" s="9">
        <f>1.86*($D$121*$D$119*($D$117/12)/U131)^(1/3)</f>
        <v>21.156202278231476</v>
      </c>
      <c r="V136" s="9">
        <f>1.86*($E$121*$E$119*($E$117/12)/V131)^(1/3)</f>
        <v>10.297843389862114</v>
      </c>
      <c r="W136" s="9">
        <f>1.86*($D$121*$D$119*($D$117/12)/W131)^(1/3)</f>
        <v>21.156202278231476</v>
      </c>
      <c r="X136" s="9">
        <f>1.86*($E$121*$E$119*($E$117/12)/X131)^(1/3)</f>
        <v>10.297843389862114</v>
      </c>
      <c r="Y136" s="9">
        <f>1.86*($D$121*$D$119*($D$117/12)/Y131)^(1/3)</f>
        <v>21.156202278231476</v>
      </c>
      <c r="Z136" s="9">
        <f>1.86*($E$121*$E$119*($E$117/12)/Z131)^(1/3)</f>
        <v>10.297843389862114</v>
      </c>
      <c r="AA136" s="9">
        <f>1.86*($D$121*$D$119*($D$117/12)/AA131)^(1/3)</f>
        <v>21.156202278231476</v>
      </c>
      <c r="AB136" s="9">
        <f>1.86*($E$121*$E$119*($E$117/12)/AB131)^(1/3)</f>
        <v>10.297843389862114</v>
      </c>
    </row>
    <row r="137" spans="1:28" x14ac:dyDescent="0.25">
      <c r="B137" t="s">
        <v>58</v>
      </c>
      <c r="C137" s="9">
        <f>IF($D$121&gt;2300,C134,C136)*$D$122</f>
        <v>182.30449427645752</v>
      </c>
      <c r="D137" s="9">
        <f>IF($E$121&gt;2300,D134,D136)*$E$122</f>
        <v>145.92360067302695</v>
      </c>
      <c r="E137" s="9">
        <f>IF($D$121&gt;2300,E134,E136)*$D$122</f>
        <v>185.14980275138311</v>
      </c>
      <c r="F137" s="9">
        <f>IF($E$121&gt;2300,F134,F136)*$E$122</f>
        <v>147.02786439869658</v>
      </c>
      <c r="G137" s="9">
        <f>IF($D$121&gt;2300,G134,G136)*$D$122</f>
        <v>185.18346725205976</v>
      </c>
      <c r="H137" s="9">
        <f>IF($E$121&gt;2300,H134,H136)*$E$122</f>
        <v>147.04092958557092</v>
      </c>
      <c r="I137" s="9">
        <f>IF($D$121&gt;2300,I134,I136)*$D$122</f>
        <v>185.18386361332074</v>
      </c>
      <c r="J137" s="9">
        <f>IF($E$121&gt;2300,J134,J136)*$E$122</f>
        <v>147.04108341330758</v>
      </c>
      <c r="K137" s="9">
        <f>IF($D$121&gt;2300,K134,K136)*$D$122</f>
        <v>185.18386827975593</v>
      </c>
      <c r="L137" s="9">
        <f>IF($E$121&gt;2300,L134,L136)*$E$122</f>
        <v>147.04108522435024</v>
      </c>
      <c r="M137" s="9">
        <f>IF($D$121&gt;2300,M134,M136)*$D$122</f>
        <v>185.18386833469467</v>
      </c>
      <c r="N137" s="9">
        <f>IF($E$121&gt;2300,N134,N136)*$E$122</f>
        <v>147.04108524567198</v>
      </c>
      <c r="O137" s="9">
        <f>IF($D$121&gt;2300,O134,O136)*$D$122</f>
        <v>185.18386833534146</v>
      </c>
      <c r="P137" s="9">
        <f>IF($E$121&gt;2300,P134,P136)*$E$122</f>
        <v>147.041085245923</v>
      </c>
      <c r="Q137" s="9">
        <f>IF($D$121&gt;2300,Q134,Q136)*$D$122</f>
        <v>185.1838683353491</v>
      </c>
      <c r="R137" s="9">
        <f>IF($E$121&gt;2300,R134,R136)*$E$122</f>
        <v>147.04108524592596</v>
      </c>
      <c r="S137" s="9">
        <f>IF($D$121&gt;2300,S134,S136)*$D$122</f>
        <v>185.18386833534916</v>
      </c>
      <c r="T137" s="9">
        <f>IF($E$121&gt;2300,T134,T136)*$E$122</f>
        <v>147.04108524592598</v>
      </c>
      <c r="U137" s="9">
        <f>IF($D$121&gt;2300,U134,U136)*$D$122</f>
        <v>185.18386833534916</v>
      </c>
      <c r="V137" s="9">
        <f>IF($E$121&gt;2300,V134,V136)*$E$122</f>
        <v>147.04108524592598</v>
      </c>
      <c r="W137" s="9">
        <f>IF($D$121&gt;2300,W134,W136)*$D$122</f>
        <v>185.18386833534916</v>
      </c>
      <c r="X137" s="9">
        <f>IF($E$121&gt;2300,X134,X136)*$E$122</f>
        <v>147.04108524592598</v>
      </c>
      <c r="Y137" s="9">
        <f>IF($D$121&gt;2300,Y134,Y136)*$D$122</f>
        <v>185.18386833534916</v>
      </c>
      <c r="Z137" s="9">
        <f>IF($E$121&gt;2300,Z134,Z136)*$E$122</f>
        <v>147.04108524592598</v>
      </c>
      <c r="AA137" s="9">
        <f>IF($D$121&gt;2300,AA134,AA136)*$D$122</f>
        <v>185.18386833534916</v>
      </c>
      <c r="AB137" s="9">
        <f>IF($E$121&gt;2300,AB134,AB136)*$E$122</f>
        <v>147.04108524592598</v>
      </c>
    </row>
    <row r="138" spans="1:28" x14ac:dyDescent="0.25">
      <c r="B138" t="s">
        <v>60</v>
      </c>
      <c r="C138" s="9">
        <f>C137*$E$68/($D$117/12)</f>
        <v>105.83714964162832</v>
      </c>
      <c r="D138" s="9">
        <f>D137*$F$68/($E$117/12)</f>
        <v>232.4670317514007</v>
      </c>
      <c r="E138" s="9">
        <f>E137*$E$68/($D$117/12)</f>
        <v>107.4889977764342</v>
      </c>
      <c r="F138" s="9">
        <f>F137*$F$68/($E$117/12)</f>
        <v>234.22620510919333</v>
      </c>
      <c r="G138" s="9">
        <f>G137*$E$68/($D$117/12)</f>
        <v>107.50854175317413</v>
      </c>
      <c r="H138" s="9">
        <f>H137*$F$68/($E$117/12)</f>
        <v>234.24701891311503</v>
      </c>
      <c r="I138" s="9">
        <f>I137*$E$68/($D$117/12)</f>
        <v>107.50877186130315</v>
      </c>
      <c r="J138" s="9">
        <f>J137*$F$68/($E$117/12)</f>
        <v>234.24726397201692</v>
      </c>
      <c r="K138" s="9">
        <f>K137*$E$68/($D$117/12)</f>
        <v>107.50877457040916</v>
      </c>
      <c r="L138" s="9">
        <f>L137*$F$68/($E$117/12)</f>
        <v>234.24726685714111</v>
      </c>
      <c r="M138" s="9">
        <f>M137*$E$68/($D$117/12)</f>
        <v>107.50877460230393</v>
      </c>
      <c r="N138" s="9">
        <f>N137*$F$68/($E$117/12)</f>
        <v>234.24726689110824</v>
      </c>
      <c r="O138" s="9">
        <f>O137*$E$68/($D$117/12)</f>
        <v>107.50877460267941</v>
      </c>
      <c r="P138" s="9">
        <f>P137*$F$68/($E$117/12)</f>
        <v>234.24726689150813</v>
      </c>
      <c r="Q138" s="9">
        <f>Q137*$E$68/($D$117/12)</f>
        <v>107.50877460268386</v>
      </c>
      <c r="R138" s="9">
        <f>R137*$F$68/($E$117/12)</f>
        <v>234.24726689151282</v>
      </c>
      <c r="S138" s="9">
        <f>S137*$E$68/($D$117/12)</f>
        <v>107.50877460268389</v>
      </c>
      <c r="T138" s="9">
        <f>T137*$F$68/($E$117/12)</f>
        <v>234.24726689151288</v>
      </c>
      <c r="U138" s="9">
        <f>U137*$E$68/($D$117/12)</f>
        <v>107.50877460268389</v>
      </c>
      <c r="V138" s="9">
        <f>V137*$F$68/($E$117/12)</f>
        <v>234.24726689151288</v>
      </c>
      <c r="W138" s="9">
        <f>W137*$E$68/($D$117/12)</f>
        <v>107.50877460268389</v>
      </c>
      <c r="X138" s="9">
        <f>X137*$F$68/($E$117/12)</f>
        <v>234.24726689151288</v>
      </c>
      <c r="Y138" s="9">
        <f>Y137*$E$68/($D$117/12)</f>
        <v>107.50877460268389</v>
      </c>
      <c r="Z138" s="9">
        <f>Z137*$F$68/($E$117/12)</f>
        <v>234.24726689151288</v>
      </c>
      <c r="AA138" s="9">
        <f>AA137*$E$68/($D$117/12)</f>
        <v>107.50877460268389</v>
      </c>
      <c r="AB138" s="9">
        <f>AB137*$F$68/($E$117/12)</f>
        <v>234.24726689151288</v>
      </c>
    </row>
    <row r="140" spans="1:28" x14ac:dyDescent="0.25">
      <c r="C140" t="s">
        <v>49</v>
      </c>
      <c r="D140" t="s">
        <v>50</v>
      </c>
      <c r="E140" t="s">
        <v>49</v>
      </c>
      <c r="F140" t="s">
        <v>50</v>
      </c>
      <c r="G140" t="s">
        <v>49</v>
      </c>
      <c r="H140" t="s">
        <v>50</v>
      </c>
      <c r="I140" t="s">
        <v>49</v>
      </c>
      <c r="J140" t="s">
        <v>50</v>
      </c>
      <c r="K140" t="s">
        <v>49</v>
      </c>
      <c r="L140" t="s">
        <v>50</v>
      </c>
      <c r="M140" t="s">
        <v>49</v>
      </c>
      <c r="N140" t="s">
        <v>50</v>
      </c>
      <c r="O140" t="s">
        <v>49</v>
      </c>
      <c r="P140" t="s">
        <v>50</v>
      </c>
      <c r="Q140" t="s">
        <v>49</v>
      </c>
      <c r="R140" t="s">
        <v>50</v>
      </c>
      <c r="S140" t="s">
        <v>49</v>
      </c>
      <c r="T140" t="s">
        <v>50</v>
      </c>
      <c r="U140" t="s">
        <v>49</v>
      </c>
      <c r="V140" t="s">
        <v>50</v>
      </c>
      <c r="W140" t="s">
        <v>49</v>
      </c>
      <c r="X140" t="s">
        <v>50</v>
      </c>
      <c r="Y140" t="s">
        <v>49</v>
      </c>
      <c r="Z140" t="s">
        <v>50</v>
      </c>
      <c r="AA140" t="s">
        <v>49</v>
      </c>
      <c r="AB140" t="s">
        <v>50</v>
      </c>
    </row>
    <row r="141" spans="1:28" x14ac:dyDescent="0.25">
      <c r="B141" t="s">
        <v>61</v>
      </c>
      <c r="C141" s="9">
        <f>IF($H$106=1,C138,D138)</f>
        <v>105.83714964162832</v>
      </c>
      <c r="D141" s="9">
        <f>IF($H$106=2,C138,D138)</f>
        <v>232.4670317514007</v>
      </c>
      <c r="E141" s="9">
        <f>IF($H$106=1,E138,F138)</f>
        <v>107.4889977764342</v>
      </c>
      <c r="F141" s="9">
        <f>IF($H$106=2,E138,F138)</f>
        <v>234.22620510919333</v>
      </c>
      <c r="G141" s="9">
        <f>IF($H$106=1,G138,H138)</f>
        <v>107.50854175317413</v>
      </c>
      <c r="H141" s="9">
        <f>IF($H$106=2,G138,H138)</f>
        <v>234.24701891311503</v>
      </c>
      <c r="I141" s="9">
        <f>IF($H$106=1,I138,J138)</f>
        <v>107.50877186130315</v>
      </c>
      <c r="J141" s="9">
        <f>IF($H$106=2,I138,J138)</f>
        <v>234.24726397201692</v>
      </c>
      <c r="K141" s="9">
        <f>IF($H$106=1,K138,L138)</f>
        <v>107.50877457040916</v>
      </c>
      <c r="L141" s="9">
        <f>IF($H$106=2,K138,L138)</f>
        <v>234.24726685714111</v>
      </c>
      <c r="M141" s="9">
        <f>IF($H$106=1,M138,N138)</f>
        <v>107.50877460230393</v>
      </c>
      <c r="N141" s="9">
        <f>IF($H$106=2,M138,N138)</f>
        <v>234.24726689110824</v>
      </c>
      <c r="O141" s="9">
        <f>IF($H$106=1,O138,P138)</f>
        <v>107.50877460267941</v>
      </c>
      <c r="P141" s="9">
        <f>IF($H$106=2,O138,P138)</f>
        <v>234.24726689150813</v>
      </c>
      <c r="Q141" s="9">
        <f>IF($H$106=1,Q138,R138)</f>
        <v>107.50877460268386</v>
      </c>
      <c r="R141" s="9">
        <f>IF($H$106=2,Q138,R138)</f>
        <v>234.24726689151282</v>
      </c>
      <c r="S141" s="9">
        <f>IF($H$106=1,S138,T138)</f>
        <v>107.50877460268389</v>
      </c>
      <c r="T141" s="9">
        <f>IF($H$106=2,S138,T138)</f>
        <v>234.24726689151288</v>
      </c>
      <c r="U141" s="9">
        <f>IF($H$106=1,U138,V138)</f>
        <v>107.50877460268389</v>
      </c>
      <c r="V141" s="9">
        <f>IF($H$106=2,U138,V138)</f>
        <v>234.24726689151288</v>
      </c>
      <c r="W141" s="9">
        <f>IF($H$106=1,W138,X138)</f>
        <v>107.50877460268389</v>
      </c>
      <c r="X141" s="9">
        <f>IF($H$106=2,W138,X138)</f>
        <v>234.24726689151288</v>
      </c>
      <c r="Y141" s="9">
        <f>IF($H$106=1,Y138,Z138)</f>
        <v>107.50877460268389</v>
      </c>
      <c r="Z141" s="9">
        <f>IF($H$106=2,Y138,Z138)</f>
        <v>234.24726689151288</v>
      </c>
      <c r="AA141" s="9">
        <f>IF($H$106=1,AA138,AB138)</f>
        <v>107.50877460268389</v>
      </c>
      <c r="AB141" s="9">
        <f>IF($H$106=2,AA138,AB138)</f>
        <v>234.24726689151288</v>
      </c>
    </row>
    <row r="142" spans="1:28" s="4" customFormat="1" x14ac:dyDescent="0.25">
      <c r="A142" s="39"/>
      <c r="B142" s="4" t="s">
        <v>63</v>
      </c>
      <c r="C142" s="9">
        <f>1/($D$124/C141+$D$123+1/D141+$D$124*$H$117+$I$117)</f>
        <v>56.067214766027718</v>
      </c>
      <c r="D142" s="9"/>
      <c r="E142" s="9">
        <f>1/($D$124/E141+$D$123+1/F141+$D$124*$H$117+$I$117)</f>
        <v>56.700301148401827</v>
      </c>
      <c r="F142" s="9"/>
      <c r="G142" s="9">
        <f>1/($D$124/G141+$D$123+1/H141+$D$124*$H$117+$I$117)</f>
        <v>56.707769125753998</v>
      </c>
      <c r="H142" s="9"/>
      <c r="I142" s="9">
        <f>1/($D$124/I141+$D$123+1/J141+$D$124*$H$117+$I$117)</f>
        <v>56.707857049598729</v>
      </c>
      <c r="J142" s="9"/>
      <c r="K142" s="9">
        <f>1/($D$124/K141+$D$123+1/L141+$D$124*$H$117+$I$117)</f>
        <v>56.707858084742156</v>
      </c>
      <c r="L142" s="9"/>
      <c r="M142" s="9">
        <f>1/($D$124/M141+$D$123+1/N141+$D$124*$H$117+$I$117)</f>
        <v>56.70785809692908</v>
      </c>
      <c r="N142" s="9"/>
      <c r="O142" s="9">
        <f>1/($D$124/O141+$D$123+1/P141+$D$124*$H$117+$I$117)</f>
        <v>56.707858097072553</v>
      </c>
      <c r="P142" s="9"/>
      <c r="Q142" s="9">
        <f>1/($D$124/Q141+$D$123+1/R141+$D$124*$H$117+$I$117)</f>
        <v>56.707858097074244</v>
      </c>
      <c r="R142" s="9"/>
      <c r="S142" s="9">
        <f>1/($D$124/S141+$D$123+1/T141+$D$124*$H$117+$I$117)</f>
        <v>56.707858097074258</v>
      </c>
      <c r="T142" s="9"/>
      <c r="U142" s="9">
        <f>1/($D$124/U141+$D$123+1/V141+$D$124*$H$117+$I$117)</f>
        <v>56.707858097074258</v>
      </c>
      <c r="V142" s="9"/>
      <c r="W142" s="9">
        <f>1/($D$124/W141+$D$123+1/X141+$D$124*$H$117+$I$117)</f>
        <v>56.707858097074258</v>
      </c>
      <c r="X142" s="9"/>
      <c r="Y142" s="9">
        <f>1/($D$124/Y141+$D$123+1/Z141+$D$124*$H$117+$I$117)</f>
        <v>56.707858097074258</v>
      </c>
      <c r="Z142" s="9"/>
      <c r="AA142" s="9">
        <f>1/($D$124/AA141+$D$123+1/AB141+$D$124*$H$117+$I$117)</f>
        <v>56.707858097074258</v>
      </c>
      <c r="AB142" s="9"/>
    </row>
    <row r="143" spans="1:28" s="4" customFormat="1" x14ac:dyDescent="0.25">
      <c r="A143" s="39"/>
      <c r="B143" s="4" t="s">
        <v>72</v>
      </c>
      <c r="C143" s="9">
        <f>$D$126/(C142*$D$125)</f>
        <v>27.424137012826264</v>
      </c>
      <c r="D143" s="9"/>
      <c r="E143" s="9">
        <f>$D$126/(E142*$D$125)</f>
        <v>27.117933212501804</v>
      </c>
      <c r="F143" s="9"/>
      <c r="G143" s="9">
        <f>$D$126/(G142*$D$125)</f>
        <v>27.114361989119352</v>
      </c>
      <c r="H143" s="9"/>
      <c r="I143" s="9">
        <f>$D$126/(I142*$D$125)</f>
        <v>27.114319949108012</v>
      </c>
      <c r="J143" s="9"/>
      <c r="K143" s="9">
        <f>$D$126/(K142*$D$125)</f>
        <v>27.114319454164082</v>
      </c>
      <c r="L143" s="9"/>
      <c r="M143" s="9">
        <f>$D$126/(M142*$D$125)</f>
        <v>27.114319448337021</v>
      </c>
      <c r="N143" s="9"/>
      <c r="O143" s="9">
        <f>$D$126/(O142*$D$125)</f>
        <v>27.114319448268422</v>
      </c>
      <c r="P143" s="9"/>
      <c r="Q143" s="9">
        <f>$D$126/(Q142*$D$125)</f>
        <v>27.114319448267612</v>
      </c>
      <c r="R143" s="9"/>
      <c r="S143" s="9">
        <f>$D$126/(S142*$D$125)</f>
        <v>27.114319448267604</v>
      </c>
      <c r="T143" s="9"/>
      <c r="U143" s="9">
        <f>$D$126/(U142*$D$125)</f>
        <v>27.114319448267604</v>
      </c>
      <c r="V143" s="9"/>
      <c r="W143" s="9">
        <f>$D$126/(W142*$D$125)</f>
        <v>27.114319448267604</v>
      </c>
      <c r="X143" s="9"/>
      <c r="Y143" s="9">
        <f>$D$126/(Y142*$D$125)</f>
        <v>27.114319448267604</v>
      </c>
      <c r="Z143" s="9"/>
      <c r="AA143" s="9">
        <f>$D$126/(AA142*$D$125)</f>
        <v>27.114319448267604</v>
      </c>
      <c r="AB143" s="9"/>
    </row>
    <row r="144" spans="1:28" s="4" customFormat="1" x14ac:dyDescent="0.25">
      <c r="A144" s="39"/>
      <c r="B144" s="4" t="s">
        <v>53</v>
      </c>
      <c r="C144" s="9">
        <f>C143/(PI()*$D$127)</f>
        <v>44.10631038943027</v>
      </c>
      <c r="D144" s="9"/>
      <c r="E144" s="9">
        <f>E143/(PI()*$D$127)</f>
        <v>43.613842026498105</v>
      </c>
      <c r="F144" s="9"/>
      <c r="G144" s="9">
        <f>G143/(PI()*$D$127)</f>
        <v>43.608098418708273</v>
      </c>
      <c r="H144" s="9"/>
      <c r="I144" s="9">
        <f>I143/(PI()*$D$127)</f>
        <v>43.608030805649449</v>
      </c>
      <c r="J144" s="9"/>
      <c r="K144" s="9">
        <f>K143/(PI()*$D$127)</f>
        <v>43.60803000962985</v>
      </c>
      <c r="L144" s="9"/>
      <c r="M144" s="9">
        <f>M143/(PI()*$D$127)</f>
        <v>43.608030000258175</v>
      </c>
      <c r="N144" s="9"/>
      <c r="O144" s="9">
        <f>O143/(PI()*$D$127)</f>
        <v>43.608030000147842</v>
      </c>
      <c r="P144" s="9"/>
      <c r="Q144" s="9">
        <f>Q143/(PI()*$D$127)</f>
        <v>43.608030000146542</v>
      </c>
      <c r="R144" s="9"/>
      <c r="S144" s="9">
        <f>S143/(PI()*$D$127)</f>
        <v>43.608030000146528</v>
      </c>
      <c r="T144" s="9"/>
      <c r="U144" s="9">
        <f>U143/(PI()*$D$127)</f>
        <v>43.608030000146528</v>
      </c>
      <c r="V144" s="9"/>
      <c r="W144" s="9">
        <f>W143/(PI()*$D$127)</f>
        <v>43.608030000146528</v>
      </c>
      <c r="X144" s="9"/>
      <c r="Y144" s="9">
        <f>Y143/(PI()*$D$127)</f>
        <v>43.608030000146528</v>
      </c>
      <c r="Z144" s="9"/>
      <c r="AA144" s="9">
        <f>AA143/(PI()*$D$127)</f>
        <v>43.608030000146528</v>
      </c>
      <c r="AB144" s="9"/>
    </row>
    <row r="146" spans="2:8" x14ac:dyDescent="0.25">
      <c r="B146" t="s">
        <v>76</v>
      </c>
      <c r="D146" s="12">
        <f>AA144</f>
        <v>43.608030000146528</v>
      </c>
    </row>
    <row r="147" spans="2:8" x14ac:dyDescent="0.25">
      <c r="B147" t="s">
        <v>72</v>
      </c>
      <c r="D147" s="12">
        <f>AA143</f>
        <v>27.114319448267604</v>
      </c>
    </row>
    <row r="149" spans="2:8" x14ac:dyDescent="0.25">
      <c r="B149" t="s">
        <v>82</v>
      </c>
      <c r="D149" s="12">
        <f>D146/E52/2</f>
        <v>1.0902007500036632</v>
      </c>
      <c r="E149" t="s">
        <v>83</v>
      </c>
      <c r="F149" s="10" t="str">
        <f>FIXED(D149,0)</f>
        <v>1</v>
      </c>
      <c r="G149" s="12">
        <f>D149-F149</f>
        <v>9.0200750003663233E-2</v>
      </c>
      <c r="H149" s="10">
        <f>IF(G149&lt;=0.1,0,1)</f>
        <v>0</v>
      </c>
    </row>
    <row r="150" spans="2:8" x14ac:dyDescent="0.25">
      <c r="B150" t="s">
        <v>84</v>
      </c>
      <c r="D150" s="12">
        <f>FIXED(D149,0)+H149</f>
        <v>1</v>
      </c>
    </row>
    <row r="151" spans="2:8" x14ac:dyDescent="0.25">
      <c r="B151" t="s">
        <v>85</v>
      </c>
      <c r="D151" s="10">
        <f>D150*E52*2</f>
        <v>40</v>
      </c>
      <c r="E151" t="s">
        <v>81</v>
      </c>
    </row>
    <row r="153" spans="2:8" x14ac:dyDescent="0.25">
      <c r="B153" t="s">
        <v>86</v>
      </c>
    </row>
    <row r="154" spans="2:8" x14ac:dyDescent="0.25">
      <c r="B154" t="s">
        <v>91</v>
      </c>
      <c r="D154" s="13">
        <f>D56/H55</f>
        <v>0.77411994784876159</v>
      </c>
      <c r="E154" s="9">
        <f>(1-D154)^2/(1+D154^2+(1-D154^2)/LN(D154))</f>
        <v>1.4983668440724744</v>
      </c>
    </row>
    <row r="155" spans="2:8" x14ac:dyDescent="0.25">
      <c r="D155" t="s">
        <v>20</v>
      </c>
      <c r="E155" t="s">
        <v>21</v>
      </c>
    </row>
    <row r="156" spans="2:8" x14ac:dyDescent="0.25">
      <c r="B156" t="s">
        <v>87</v>
      </c>
      <c r="D156" s="9">
        <f>E59/D118</f>
        <v>415928.76157563087</v>
      </c>
      <c r="E156" s="9">
        <f>F59/E118</f>
        <v>486072.48470855749</v>
      </c>
    </row>
    <row r="157" spans="2:8" x14ac:dyDescent="0.25">
      <c r="B157" t="s">
        <v>88</v>
      </c>
      <c r="D157" s="10"/>
      <c r="E157" s="10"/>
    </row>
    <row r="158" spans="2:8" x14ac:dyDescent="0.25">
      <c r="B158" t="s">
        <v>55</v>
      </c>
      <c r="D158" s="11">
        <f>64/D121*E154</f>
        <v>6.475922779375691E-3</v>
      </c>
      <c r="E158" s="11">
        <f>64/E121*E154</f>
        <v>4.5452681823728112E-3</v>
      </c>
    </row>
    <row r="159" spans="2:8" x14ac:dyDescent="0.25">
      <c r="B159" t="s">
        <v>89</v>
      </c>
      <c r="D159" s="10">
        <f>(E66/E69)^0.25</f>
        <v>1</v>
      </c>
      <c r="E159" s="10">
        <f>(F66/F69)^0.25</f>
        <v>1</v>
      </c>
    </row>
    <row r="160" spans="2:8" x14ac:dyDescent="0.25">
      <c r="B160" t="s">
        <v>90</v>
      </c>
      <c r="D160" s="10"/>
      <c r="E160" s="10"/>
    </row>
    <row r="161" spans="2:5" x14ac:dyDescent="0.25">
      <c r="B161" t="s">
        <v>55</v>
      </c>
      <c r="D161" s="11">
        <f>0.3676*(D121^-0.2314)</f>
        <v>3.9840301857111654E-2</v>
      </c>
      <c r="E161" s="11">
        <f>0.3676*(E121^-0.2314)</f>
        <v>3.6706813653351662E-2</v>
      </c>
    </row>
    <row r="162" spans="2:5" x14ac:dyDescent="0.25">
      <c r="B162" t="s">
        <v>89</v>
      </c>
      <c r="D162" s="10">
        <f>(E66/E69)^0.14</f>
        <v>1</v>
      </c>
      <c r="E162" s="10">
        <f>(F66/F69)^0.14</f>
        <v>1</v>
      </c>
    </row>
    <row r="163" spans="2:5" x14ac:dyDescent="0.25">
      <c r="B163" t="s">
        <v>14</v>
      </c>
      <c r="D163" s="10"/>
      <c r="E163" s="10"/>
    </row>
    <row r="164" spans="2:5" x14ac:dyDescent="0.25">
      <c r="B164" t="s">
        <v>55</v>
      </c>
      <c r="D164" s="12">
        <f>IF(D121&lt;=2300,D158,D161)</f>
        <v>3.9840301857111654E-2</v>
      </c>
      <c r="E164" s="12">
        <f>IF(E121&lt;=2300,E158,E161)</f>
        <v>3.6706813653351662E-2</v>
      </c>
    </row>
    <row r="165" spans="2:5" x14ac:dyDescent="0.25">
      <c r="B165" t="s">
        <v>89</v>
      </c>
      <c r="D165" s="10">
        <f>IF(D121&lt;=2300,D159,D162)</f>
        <v>1</v>
      </c>
      <c r="E165" s="10">
        <f>IF(E121&lt;=2300,E159,E162)</f>
        <v>1</v>
      </c>
    </row>
    <row r="166" spans="2:5" x14ac:dyDescent="0.25">
      <c r="B166" t="s">
        <v>92</v>
      </c>
      <c r="D166" s="12">
        <f>D164*D151*D156^2/(7.5*10^12*(D117*D165/12)*E65/62.43)</f>
        <v>0.27526309735702631</v>
      </c>
      <c r="E166" s="12">
        <f>E164*D151*E156^2/(7.5*10^12*(E117*E165/12)*F65/62.43)</f>
        <v>1.0526772177319623</v>
      </c>
    </row>
    <row r="167" spans="2:5" x14ac:dyDescent="0.25">
      <c r="B167" t="s">
        <v>95</v>
      </c>
      <c r="D167" s="10"/>
      <c r="E167" s="10"/>
    </row>
    <row r="168" spans="2:5" x14ac:dyDescent="0.25">
      <c r="B168" t="s">
        <v>94</v>
      </c>
      <c r="D168" s="12">
        <f>$D$166+2*10^-13*(2*$D$150-1)*$D$156^2/($E$65/62.43)</f>
        <v>0.31989196527744235</v>
      </c>
      <c r="E168" s="12">
        <f>$E$166+2*10^-13*(2*$D$150-1)*$E$156^2/($F$65/62.43)</f>
        <v>1.114782965214695</v>
      </c>
    </row>
    <row r="169" spans="2:5" x14ac:dyDescent="0.25">
      <c r="B169" t="s">
        <v>96</v>
      </c>
      <c r="D169" s="12">
        <f>$D$166+1.6*10^-13*(2*$D$150-1)*$D$156^2/($E$65/62.43)</f>
        <v>0.31096619169335915</v>
      </c>
      <c r="E169" s="12">
        <f>$E$166+1.6*10^-13*(2*$D$150-1)*$E$156^2/($F$65/62.43)</f>
        <v>1.1023618157181485</v>
      </c>
    </row>
    <row r="170" spans="2:5" x14ac:dyDescent="0.25">
      <c r="B170" t="s">
        <v>14</v>
      </c>
      <c r="D170" s="13">
        <f>IF(D121&lt;=2100,D168,D169)</f>
        <v>0.31096619169335915</v>
      </c>
      <c r="E170" s="13">
        <f>IF(E121&lt;=2100,E168,E169)</f>
        <v>1.1023618157181485</v>
      </c>
    </row>
  </sheetData>
  <sheetProtection selectLockedCells="1"/>
  <mergeCells count="10">
    <mergeCell ref="B2:H2"/>
    <mergeCell ref="G3:H3"/>
    <mergeCell ref="G4:H4"/>
    <mergeCell ref="G5:H5"/>
    <mergeCell ref="G6:H6"/>
    <mergeCell ref="E10:F10"/>
    <mergeCell ref="E52:F52"/>
    <mergeCell ref="E11:F11"/>
    <mergeCell ref="E8:F8"/>
    <mergeCell ref="E9:F9"/>
  </mergeCells>
  <dataValidations count="3">
    <dataValidation type="list" allowBlank="1" showInputMessage="1" showErrorMessage="1" sqref="E10:F10">
      <formula1>$C$99:$C$100</formula1>
    </dataValidation>
    <dataValidation type="list" allowBlank="1" showInputMessage="1" showErrorMessage="1" sqref="E9:F9">
      <formula1>$D$109:$D$114</formula1>
    </dataValidation>
    <dataValidation type="list" allowBlank="1" showInputMessage="1" showErrorMessage="1" sqref="E8:F8">
      <formula1>$D$106:$D$107</formula1>
    </dataValidation>
  </dataValidations>
  <hyperlinks>
    <hyperlink ref="B3" r:id="rId1"/>
  </hyperlinks>
  <pageMargins left="0.7" right="0.7" top="0.75" bottom="0.75" header="0.3" footer="0.3"/>
  <pageSetup paperSize="9" scale="9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English</vt:lpstr>
      <vt:lpstr>Metric</vt:lpstr>
      <vt:lpstr>Metric!Fluid_Loc1</vt:lpstr>
      <vt:lpstr>Fluid_Loc1</vt:lpstr>
      <vt:lpstr>English!Print_Area</vt:lpstr>
      <vt:lpstr>Metric!Print_Area</vt:lpstr>
    </vt:vector>
  </TitlesOfParts>
  <Manager>ChemSOF</Manager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ChemSOF</dc:creator>
  <cp:lastModifiedBy>Aarav</cp:lastModifiedBy>
  <cp:lastPrinted>2013-10-07T15:13:23Z</cp:lastPrinted>
  <dcterms:created xsi:type="dcterms:W3CDTF">2013-10-06T09:53:17Z</dcterms:created>
  <dcterms:modified xsi:type="dcterms:W3CDTF">2015-12-29T16:27:03Z</dcterms:modified>
</cp:coreProperties>
</file>