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0245" windowHeight="7515"/>
  </bookViews>
  <sheets>
    <sheet name="Half-Pipe" sheetId="6" r:id="rId1"/>
  </sheets>
  <definedNames>
    <definedName name="Fluid_Loc1">#REF!</definedName>
    <definedName name="_xlnm.Print_Area" localSheetId="0">'Half-Pipe'!$A$1:$N$50</definedName>
  </definedNames>
  <calcPr calcId="145621"/>
</workbook>
</file>

<file path=xl/calcChain.xml><?xml version="1.0" encoding="utf-8"?>
<calcChain xmlns="http://schemas.openxmlformats.org/spreadsheetml/2006/main">
  <c r="T44" i="6" l="1"/>
  <c r="T42" i="6"/>
  <c r="T40" i="6"/>
  <c r="T39" i="6"/>
  <c r="T37" i="6"/>
  <c r="N26" i="6"/>
  <c r="T30" i="6"/>
  <c r="T31" i="6"/>
  <c r="N23" i="6"/>
  <c r="G26" i="6"/>
  <c r="T33" i="6"/>
  <c r="T48" i="6"/>
  <c r="G23" i="6"/>
  <c r="W11" i="6" l="1"/>
  <c r="Y9" i="6" l="1"/>
  <c r="U9" i="6"/>
  <c r="V12" i="6"/>
  <c r="X21" i="6"/>
  <c r="T46" i="6"/>
  <c r="W12" i="6"/>
  <c r="W6" i="6"/>
  <c r="W7" i="6"/>
  <c r="W8" i="6"/>
  <c r="W9" i="6"/>
  <c r="W5" i="6"/>
  <c r="V8" i="6"/>
  <c r="V7" i="6"/>
  <c r="T14" i="6"/>
  <c r="W14" i="6" l="1"/>
  <c r="Y14" i="6"/>
  <c r="Y25" i="6" l="1"/>
  <c r="Y33" i="6"/>
  <c r="Y32" i="6"/>
  <c r="Y34" i="6" s="1"/>
  <c r="Y31" i="6"/>
  <c r="N24" i="6"/>
  <c r="G24" i="6"/>
  <c r="T26" i="6"/>
  <c r="T27" i="6"/>
  <c r="Y26" i="6" s="1"/>
  <c r="Y27" i="6" s="1"/>
  <c r="Y28" i="6" s="1"/>
  <c r="Y29" i="6" s="1"/>
  <c r="V10" i="6"/>
  <c r="V6" i="6"/>
  <c r="V5" i="6"/>
  <c r="X11" i="6" l="1"/>
  <c r="V11" i="6"/>
  <c r="V14" i="6" s="1"/>
  <c r="U11" i="6"/>
  <c r="T45" i="6"/>
  <c r="T47" i="6" s="1"/>
  <c r="G38" i="6" s="1"/>
  <c r="Z9" i="6"/>
  <c r="U5" i="6"/>
  <c r="X5" i="6"/>
  <c r="X14" i="6" s="1"/>
  <c r="Y45" i="6"/>
  <c r="T29" i="6"/>
  <c r="T32" i="6"/>
  <c r="N12" i="6"/>
  <c r="U14" i="6" l="1"/>
  <c r="G25" i="6" s="1"/>
  <c r="V9" i="6"/>
  <c r="N27" i="6"/>
  <c r="N37" i="6" l="1"/>
  <c r="T34" i="6"/>
  <c r="N28" i="6" s="1"/>
  <c r="T36" i="6"/>
  <c r="N25" i="6" s="1"/>
  <c r="G32" i="6" s="1"/>
  <c r="Y44" i="6" l="1"/>
  <c r="Y48" i="6" s="1"/>
  <c r="Y50" i="6" l="1"/>
  <c r="G45" i="6" s="1"/>
  <c r="T49" i="6" s="1"/>
  <c r="T50" i="6" s="1"/>
  <c r="G27" i="6" s="1"/>
  <c r="Y46" i="6"/>
  <c r="Y49" i="6"/>
  <c r="G39" i="6" s="1"/>
</calcChain>
</file>

<file path=xl/sharedStrings.xml><?xml version="1.0" encoding="utf-8"?>
<sst xmlns="http://schemas.openxmlformats.org/spreadsheetml/2006/main" count="206" uniqueCount="138">
  <si>
    <t>Tag No.</t>
  </si>
  <si>
    <t>Date</t>
  </si>
  <si>
    <t>By</t>
  </si>
  <si>
    <t>Carbon Steel</t>
  </si>
  <si>
    <t>Stainless Steel</t>
  </si>
  <si>
    <t>Selected</t>
  </si>
  <si>
    <t>inch</t>
  </si>
  <si>
    <t>Flowrate</t>
  </si>
  <si>
    <t>Density</t>
  </si>
  <si>
    <t>Viscosity</t>
  </si>
  <si>
    <t>cP</t>
  </si>
  <si>
    <t>Specific Heat</t>
  </si>
  <si>
    <t>Velocity</t>
  </si>
  <si>
    <t>Reynold's Number</t>
  </si>
  <si>
    <t>f</t>
  </si>
  <si>
    <t>hi</t>
  </si>
  <si>
    <t>ho</t>
  </si>
  <si>
    <t>m</t>
  </si>
  <si>
    <t>mm</t>
  </si>
  <si>
    <t>°C</t>
  </si>
  <si>
    <r>
      <t>kg/m</t>
    </r>
    <r>
      <rPr>
        <sz val="11"/>
        <color rgb="FF7030A0"/>
        <rFont val="Calibri"/>
        <family val="2"/>
      </rPr>
      <t>³</t>
    </r>
  </si>
  <si>
    <r>
      <t>kcal/kg.</t>
    </r>
    <r>
      <rPr>
        <sz val="11"/>
        <color rgb="FF7030A0"/>
        <rFont val="Calibri"/>
        <family val="2"/>
      </rPr>
      <t>°C</t>
    </r>
  </si>
  <si>
    <t>m/s</t>
  </si>
  <si>
    <r>
      <t>m</t>
    </r>
    <r>
      <rPr>
        <sz val="11"/>
        <color rgb="FF7030A0"/>
        <rFont val="Calibri"/>
        <family val="2"/>
      </rPr>
      <t>²</t>
    </r>
  </si>
  <si>
    <t>Description</t>
  </si>
  <si>
    <t xml:space="preserve">User Input </t>
  </si>
  <si>
    <t>CheGuide.com</t>
  </si>
  <si>
    <t>Chemical Engineer's Guide</t>
  </si>
  <si>
    <t>CheGuide</t>
  </si>
  <si>
    <t>Reactor</t>
  </si>
  <si>
    <t>R-101</t>
  </si>
  <si>
    <t>Nominal Pipe Size</t>
  </si>
  <si>
    <t>OD</t>
  </si>
  <si>
    <t>NPS</t>
  </si>
  <si>
    <t>ID</t>
  </si>
  <si>
    <t>Process Side</t>
  </si>
  <si>
    <t>Coil Side</t>
  </si>
  <si>
    <t>Agitator</t>
  </si>
  <si>
    <t>Paddle</t>
  </si>
  <si>
    <t>Propellor</t>
  </si>
  <si>
    <t>Anchor</t>
  </si>
  <si>
    <t>Helical Ribbon</t>
  </si>
  <si>
    <t>a</t>
  </si>
  <si>
    <t>b</t>
  </si>
  <si>
    <t>Impellor</t>
  </si>
  <si>
    <t>rpm</t>
  </si>
  <si>
    <t>Fluid Properties</t>
  </si>
  <si>
    <t>ρ</t>
  </si>
  <si>
    <t>µ</t>
  </si>
  <si>
    <t>Cp</t>
  </si>
  <si>
    <t>Conductivity</t>
  </si>
  <si>
    <t>k</t>
  </si>
  <si>
    <t>kcal/m.h.°C</t>
  </si>
  <si>
    <t>Viscosity wall</t>
  </si>
  <si>
    <r>
      <t>µ</t>
    </r>
    <r>
      <rPr>
        <vertAlign val="subscript"/>
        <sz val="11"/>
        <color theme="1"/>
        <rFont val="Calibri"/>
        <family val="2"/>
      </rPr>
      <t>w</t>
    </r>
  </si>
  <si>
    <t>Process Side, hi</t>
  </si>
  <si>
    <t>Prandtl Number</t>
  </si>
  <si>
    <t>Nusselt's Number</t>
  </si>
  <si>
    <t>Type</t>
  </si>
  <si>
    <r>
      <t>Half Pipe Coil 180</t>
    </r>
    <r>
      <rPr>
        <sz val="11"/>
        <color theme="1"/>
        <rFont val="Calibri"/>
        <family val="2"/>
      </rPr>
      <t>°</t>
    </r>
  </si>
  <si>
    <r>
      <t>Half Pipe Coil 120</t>
    </r>
    <r>
      <rPr>
        <sz val="11"/>
        <color theme="1"/>
        <rFont val="Calibri"/>
        <family val="2"/>
      </rPr>
      <t>°</t>
    </r>
  </si>
  <si>
    <t>Half Pipe Coil 180°</t>
  </si>
  <si>
    <t>Spacing</t>
  </si>
  <si>
    <t>Fouling factor</t>
  </si>
  <si>
    <t>Coil Side, ho</t>
  </si>
  <si>
    <t>De, Equivalent Diameter</t>
  </si>
  <si>
    <t>Do, Outer Diameter</t>
  </si>
  <si>
    <t>Dc, Mean Diameter of Coil</t>
  </si>
  <si>
    <t>Area Factor</t>
  </si>
  <si>
    <t>Ax, Cross Sectional Area</t>
  </si>
  <si>
    <t>m2</t>
  </si>
  <si>
    <t>Flow Regime</t>
  </si>
  <si>
    <t>Coil Width</t>
  </si>
  <si>
    <t>No. of Coils</t>
  </si>
  <si>
    <t>TL-TL Length</t>
  </si>
  <si>
    <t>Length of Coil</t>
  </si>
  <si>
    <t>Nu_turbulent @ Re</t>
  </si>
  <si>
    <t>Nu_turbulent @ Re = 10000</t>
  </si>
  <si>
    <t>Nu_Laminar @ Re</t>
  </si>
  <si>
    <t>Nu_Transient</t>
  </si>
  <si>
    <t>Nu_Laminar @ Re = 2100</t>
  </si>
  <si>
    <t>Nu_Selected</t>
  </si>
  <si>
    <t>Overall Heat Transfer Coefficient, U</t>
  </si>
  <si>
    <t>Vessel Material</t>
  </si>
  <si>
    <t>Hastelloy C</t>
  </si>
  <si>
    <t>Vessel Thickness</t>
  </si>
  <si>
    <t>Overall H.T.C</t>
  </si>
  <si>
    <t>Vessel Diameter, Dt</t>
  </si>
  <si>
    <t>Impellor Diameter, D</t>
  </si>
  <si>
    <t>Impellor Speed, N</t>
  </si>
  <si>
    <t>Pipe Coil I.D.</t>
  </si>
  <si>
    <r>
      <t>m</t>
    </r>
    <r>
      <rPr>
        <sz val="11"/>
        <color rgb="FF7030A0"/>
        <rFont val="Calibri"/>
        <family val="2"/>
      </rPr>
      <t>²</t>
    </r>
    <r>
      <rPr>
        <sz val="11"/>
        <color rgb="FF7030A0"/>
        <rFont val="Calibri"/>
        <family val="2"/>
        <scheme val="minor"/>
      </rPr>
      <t>.h.°C/kcal</t>
    </r>
  </si>
  <si>
    <r>
      <t>kcal/m</t>
    </r>
    <r>
      <rPr>
        <sz val="11"/>
        <color rgb="FF7030A0"/>
        <rFont val="Calibri"/>
        <family val="2"/>
      </rPr>
      <t>²</t>
    </r>
    <r>
      <rPr>
        <sz val="11"/>
        <color rgb="FF7030A0"/>
        <rFont val="Calibri"/>
        <family val="2"/>
        <scheme val="minor"/>
      </rPr>
      <t>.h.°C</t>
    </r>
  </si>
  <si>
    <r>
      <t>m</t>
    </r>
    <r>
      <rPr>
        <sz val="11"/>
        <color rgb="FF7030A0"/>
        <rFont val="Calibri"/>
        <family val="2"/>
      </rPr>
      <t>³/h</t>
    </r>
  </si>
  <si>
    <t>Heating / Cooling Time</t>
  </si>
  <si>
    <t>Isothermal</t>
  </si>
  <si>
    <t>Non-Isothermal</t>
  </si>
  <si>
    <t>Vessel TL-TL</t>
  </si>
  <si>
    <t>Filled Height</t>
  </si>
  <si>
    <t>Heat Transfer Area</t>
  </si>
  <si>
    <t>Correction for Half Coil</t>
  </si>
  <si>
    <t>Corrected Area</t>
  </si>
  <si>
    <t>For Isothermal Heating/ Cooling</t>
  </si>
  <si>
    <t>(For Steam ~ 1500 BTU/ft2.h.oF)</t>
  </si>
  <si>
    <t>Modified U</t>
  </si>
  <si>
    <t>U Modified to be used</t>
  </si>
  <si>
    <t>Yes</t>
  </si>
  <si>
    <t>No</t>
  </si>
  <si>
    <t>Fluid Temperature</t>
  </si>
  <si>
    <t>Process Fluid Initial</t>
  </si>
  <si>
    <t>Process Fluid Final</t>
  </si>
  <si>
    <t>Jacket Fluid Inlet</t>
  </si>
  <si>
    <t>Time Calculation</t>
  </si>
  <si>
    <t>U Value</t>
  </si>
  <si>
    <t>Mass of Liquid</t>
  </si>
  <si>
    <t>Kg</t>
  </si>
  <si>
    <t>min</t>
  </si>
  <si>
    <t>K</t>
  </si>
  <si>
    <t>Time</t>
  </si>
  <si>
    <t xml:space="preserve">Use Modified Heat Transfer </t>
  </si>
  <si>
    <t>Coefficient, U for Time Calculation</t>
  </si>
  <si>
    <t>Agitator Heat Transfer Coefficient Selection</t>
  </si>
  <si>
    <t>Coil Diameter Selection</t>
  </si>
  <si>
    <t>T Outlet</t>
  </si>
  <si>
    <t>oC</t>
  </si>
  <si>
    <t>Jacket Fluid Outlet</t>
  </si>
  <si>
    <t>Flat Blade Turbine</t>
  </si>
  <si>
    <t>Gc</t>
  </si>
  <si>
    <t>Retreating 6 Blade Turbine</t>
  </si>
  <si>
    <t>Retreating 3 Blade, Alloy Steel</t>
  </si>
  <si>
    <t>Retreating 3 Blade, Glass steel</t>
  </si>
  <si>
    <t>c</t>
  </si>
  <si>
    <t>Jacketed Vessel Heat Transfer (Half Pipe Coil)</t>
  </si>
  <si>
    <t>Jacket Average Temperature</t>
  </si>
  <si>
    <t>Process Average Temperature</t>
  </si>
  <si>
    <t>Wall Temperature</t>
  </si>
  <si>
    <t>Wall temperature</t>
  </si>
  <si>
    <t>30-May-16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</si>
</sst>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[$-14009]dd/mm/yy;@"/>
    <numFmt numFmtId="167" formatCode="0.0E+00"/>
    <numFmt numFmtId="168" formatCode="0.0.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7030A0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Helvetica"/>
    </font>
    <font>
      <sz val="10"/>
      <name val="Arial"/>
      <family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dashed">
        <color theme="9" tint="-0.24994659260841701"/>
      </top>
      <bottom style="dashed">
        <color theme="9" tint="-0.24994659260841701"/>
      </bottom>
      <diagonal/>
    </border>
    <border>
      <left/>
      <right/>
      <top style="dashed">
        <color theme="9" tint="-0.24994659260841701"/>
      </top>
      <bottom style="dashed">
        <color theme="6" tint="-0.499984740745262"/>
      </bottom>
      <diagonal/>
    </border>
    <border>
      <left/>
      <right/>
      <top/>
      <bottom style="dashed">
        <color theme="6" tint="-0.499984740745262"/>
      </bottom>
      <diagonal/>
    </border>
    <border>
      <left/>
      <right/>
      <top style="dashed">
        <color theme="6" tint="-0.499984740745262"/>
      </top>
      <bottom style="dashed">
        <color theme="6" tint="-0.499984740745262"/>
      </bottom>
      <diagonal/>
    </border>
    <border>
      <left/>
      <right/>
      <top/>
      <bottom style="dashed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56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0" fontId="4" fillId="0" borderId="0" xfId="0" applyFont="1"/>
    <xf numFmtId="0" fontId="0" fillId="3" borderId="0" xfId="0" applyFill="1"/>
    <xf numFmtId="2" fontId="0" fillId="4" borderId="0" xfId="0" applyNumberFormat="1" applyFill="1"/>
    <xf numFmtId="0" fontId="5" fillId="0" borderId="0" xfId="0" applyFont="1"/>
    <xf numFmtId="164" fontId="0" fillId="0" borderId="0" xfId="0" applyNumberFormat="1" applyAlignment="1">
      <alignment wrapText="1"/>
    </xf>
    <xf numFmtId="164" fontId="0" fillId="0" borderId="0" xfId="0" applyNumberFormat="1" applyProtection="1"/>
    <xf numFmtId="164" fontId="4" fillId="0" borderId="0" xfId="0" applyNumberFormat="1" applyFont="1" applyBorder="1" applyProtection="1"/>
    <xf numFmtId="164" fontId="3" fillId="0" borderId="0" xfId="0" applyNumberFormat="1" applyFont="1" applyProtection="1"/>
    <xf numFmtId="164" fontId="7" fillId="0" borderId="0" xfId="1" applyNumberFormat="1" applyProtection="1"/>
    <xf numFmtId="0" fontId="10" fillId="0" borderId="0" xfId="2" applyFont="1"/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center"/>
    </xf>
    <xf numFmtId="165" fontId="1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64" fontId="8" fillId="0" borderId="0" xfId="0" applyNumberFormat="1" applyFont="1" applyAlignment="1">
      <alignment horizontal="left"/>
    </xf>
    <xf numFmtId="0" fontId="0" fillId="0" borderId="0" xfId="0" applyFill="1"/>
    <xf numFmtId="0" fontId="11" fillId="0" borderId="0" xfId="0" applyFont="1"/>
    <xf numFmtId="0" fontId="0" fillId="2" borderId="0" xfId="0" applyFill="1"/>
    <xf numFmtId="0" fontId="0" fillId="0" borderId="0" xfId="0" applyFont="1"/>
    <xf numFmtId="167" fontId="0" fillId="0" borderId="0" xfId="0" applyNumberFormat="1"/>
    <xf numFmtId="11" fontId="0" fillId="4" borderId="0" xfId="0" applyNumberFormat="1" applyFill="1"/>
    <xf numFmtId="0" fontId="0" fillId="2" borderId="1" xfId="0" applyFill="1" applyBorder="1"/>
    <xf numFmtId="2" fontId="0" fillId="4" borderId="4" xfId="0" applyNumberFormat="1" applyFill="1" applyBorder="1"/>
    <xf numFmtId="1" fontId="0" fillId="4" borderId="4" xfId="0" applyNumberFormat="1" applyFill="1" applyBorder="1"/>
    <xf numFmtId="165" fontId="0" fillId="4" borderId="4" xfId="0" applyNumberFormat="1" applyFill="1" applyBorder="1"/>
    <xf numFmtId="164" fontId="4" fillId="2" borderId="5" xfId="0" applyNumberFormat="1" applyFont="1" applyFill="1" applyBorder="1" applyAlignment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165" fontId="0" fillId="4" borderId="3" xfId="0" applyNumberFormat="1" applyFill="1" applyBorder="1"/>
    <xf numFmtId="2" fontId="0" fillId="4" borderId="2" xfId="0" applyNumberFormat="1" applyFill="1" applyBorder="1"/>
    <xf numFmtId="165" fontId="0" fillId="2" borderId="1" xfId="0" applyNumberFormat="1" applyFill="1" applyBorder="1"/>
    <xf numFmtId="0" fontId="13" fillId="0" borderId="0" xfId="0" applyFont="1"/>
    <xf numFmtId="0" fontId="10" fillId="3" borderId="0" xfId="2" applyFont="1" applyFill="1" applyAlignment="1">
      <alignment horizontal="center"/>
    </xf>
    <xf numFmtId="165" fontId="0" fillId="2" borderId="5" xfId="0" applyNumberFormat="1" applyFill="1" applyBorder="1"/>
    <xf numFmtId="0" fontId="0" fillId="4" borderId="0" xfId="0" applyFill="1"/>
    <xf numFmtId="168" fontId="0" fillId="4" borderId="0" xfId="0" applyNumberFormat="1" applyFill="1"/>
    <xf numFmtId="0" fontId="1" fillId="6" borderId="6" xfId="0" applyFont="1" applyFill="1" applyBorder="1"/>
    <xf numFmtId="0" fontId="0" fillId="6" borderId="6" xfId="0" applyFill="1" applyBorder="1"/>
    <xf numFmtId="0" fontId="1" fillId="5" borderId="6" xfId="0" applyFont="1" applyFill="1" applyBorder="1"/>
    <xf numFmtId="0" fontId="0" fillId="5" borderId="6" xfId="0" applyFill="1" applyBorder="1"/>
    <xf numFmtId="164" fontId="0" fillId="4" borderId="0" xfId="0" applyNumberFormat="1" applyFill="1"/>
    <xf numFmtId="0" fontId="0" fillId="2" borderId="5" xfId="0" applyFill="1" applyBorder="1" applyAlignment="1">
      <alignment horizontal="center"/>
    </xf>
    <xf numFmtId="164" fontId="2" fillId="0" borderId="0" xfId="0" applyNumberFormat="1" applyFont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left"/>
      <protection locked="0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166" fontId="4" fillId="2" borderId="1" xfId="0" quotePrefix="1" applyNumberFormat="1" applyFont="1" applyFill="1" applyBorder="1" applyAlignment="1" applyProtection="1">
      <alignment horizontal="left"/>
      <protection locked="0"/>
    </xf>
    <xf numFmtId="165" fontId="1" fillId="4" borderId="4" xfId="0" applyNumberFormat="1" applyFont="1" applyFill="1" applyBorder="1"/>
    <xf numFmtId="2" fontId="1" fillId="4" borderId="2" xfId="0" applyNumberFormat="1" applyFont="1" applyFill="1" applyBorder="1"/>
    <xf numFmtId="165" fontId="1" fillId="4" borderId="3" xfId="0" applyNumberFormat="1" applyFont="1" applyFill="1" applyBorder="1"/>
    <xf numFmtId="165" fontId="1" fillId="4" borderId="2" xfId="0" applyNumberFormat="1" applyFont="1" applyFill="1" applyBorder="1"/>
    <xf numFmtId="1" fontId="1" fillId="4" borderId="4" xfId="0" applyNumberFormat="1" applyFont="1" applyFill="1" applyBorder="1"/>
  </cellXfs>
  <cellStyles count="3">
    <cellStyle name="Hyperlink" xfId="1" builtinId="8"/>
    <cellStyle name="Normal" xfId="0" builtinId="0"/>
    <cellStyle name="Normal_2 Phase Look-Up Lists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A149"/>
  <sheetViews>
    <sheetView showGridLines="0" tabSelected="1" zoomScaleNormal="100" workbookViewId="0">
      <selection activeCell="G5" sqref="G5"/>
    </sheetView>
  </sheetViews>
  <sheetFormatPr defaultRowHeight="15" x14ac:dyDescent="0.25"/>
  <cols>
    <col min="1" max="1" width="2.7109375" customWidth="1"/>
    <col min="2" max="6" width="6.7109375" customWidth="1"/>
    <col min="7" max="7" width="9.7109375" customWidth="1"/>
    <col min="8" max="13" width="6.7109375" customWidth="1"/>
    <col min="14" max="14" width="9.7109375" customWidth="1"/>
    <col min="15" max="15" width="6.7109375" customWidth="1"/>
    <col min="16" max="16" width="8.28515625" hidden="1" customWidth="1"/>
    <col min="17" max="18" width="6.7109375" hidden="1" customWidth="1"/>
    <col min="19" max="19" width="7.7109375" hidden="1" customWidth="1"/>
    <col min="20" max="20" width="7.85546875" hidden="1" customWidth="1"/>
    <col min="21" max="22" width="6.7109375" hidden="1" customWidth="1"/>
    <col min="23" max="23" width="8" hidden="1" customWidth="1"/>
    <col min="24" max="27" width="6.7109375" hidden="1" customWidth="1"/>
    <col min="28" max="52" width="6.7109375" customWidth="1"/>
  </cols>
  <sheetData>
    <row r="1" spans="2:26" x14ac:dyDescent="0.25">
      <c r="B1" s="1"/>
      <c r="C1" s="1"/>
      <c r="D1" s="1"/>
      <c r="E1" s="1"/>
      <c r="F1" s="1"/>
      <c r="G1" s="1"/>
    </row>
    <row r="2" spans="2:26" ht="18.75" x14ac:dyDescent="0.25">
      <c r="B2" s="47" t="s">
        <v>132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2:26" x14ac:dyDescent="0.25">
      <c r="B3" s="13" t="s">
        <v>26</v>
      </c>
      <c r="C3" s="10"/>
      <c r="D3" s="10"/>
      <c r="E3" s="10"/>
      <c r="K3" s="11" t="s">
        <v>0</v>
      </c>
      <c r="M3" s="48" t="s">
        <v>30</v>
      </c>
      <c r="N3" s="48"/>
      <c r="P3" s="36" t="s">
        <v>121</v>
      </c>
    </row>
    <row r="4" spans="2:26" x14ac:dyDescent="0.25">
      <c r="B4" s="12" t="s">
        <v>27</v>
      </c>
      <c r="C4" s="10"/>
      <c r="D4" s="10"/>
      <c r="E4" s="10"/>
      <c r="K4" s="11" t="s">
        <v>24</v>
      </c>
      <c r="M4" s="49" t="s">
        <v>29</v>
      </c>
      <c r="N4" s="49"/>
      <c r="P4" s="6" t="s">
        <v>37</v>
      </c>
      <c r="U4" t="s">
        <v>42</v>
      </c>
      <c r="V4" t="s">
        <v>43</v>
      </c>
      <c r="W4" t="s">
        <v>131</v>
      </c>
      <c r="X4" t="s">
        <v>17</v>
      </c>
      <c r="Y4" t="s">
        <v>127</v>
      </c>
    </row>
    <row r="5" spans="2:26" x14ac:dyDescent="0.25">
      <c r="B5" s="10"/>
      <c r="C5" s="10"/>
      <c r="D5" s="10"/>
      <c r="E5" s="10"/>
      <c r="K5" s="11" t="s">
        <v>1</v>
      </c>
      <c r="M5" s="50" t="s">
        <v>137</v>
      </c>
      <c r="N5" s="50"/>
      <c r="P5" s="6" t="s">
        <v>38</v>
      </c>
      <c r="T5">
        <v>1</v>
      </c>
      <c r="U5" s="39">
        <f>IF(G23&gt;4000,0.36,0.415)</f>
        <v>0.36</v>
      </c>
      <c r="V5" s="39">
        <f>2/3</f>
        <v>0.66666666666666663</v>
      </c>
      <c r="W5" s="7">
        <f>1/3</f>
        <v>0.33333333333333331</v>
      </c>
      <c r="X5" s="39">
        <f>IF(G23&gt;4000,0.14,0.24)</f>
        <v>0.14000000000000001</v>
      </c>
      <c r="Y5" s="39">
        <v>1</v>
      </c>
    </row>
    <row r="6" spans="2:26" ht="15" customHeight="1" x14ac:dyDescent="0.25">
      <c r="B6" s="19" t="s">
        <v>25</v>
      </c>
      <c r="D6" s="30"/>
      <c r="E6" s="9"/>
      <c r="K6" s="11" t="s">
        <v>2</v>
      </c>
      <c r="M6" s="49" t="s">
        <v>28</v>
      </c>
      <c r="N6" s="49"/>
      <c r="P6" s="6" t="s">
        <v>128</v>
      </c>
      <c r="T6">
        <v>2</v>
      </c>
      <c r="U6" s="39">
        <v>0.68</v>
      </c>
      <c r="V6" s="39">
        <f>2/3</f>
        <v>0.66666666666666663</v>
      </c>
      <c r="W6" s="7">
        <f t="shared" ref="W6:W9" si="0">1/3</f>
        <v>0.33333333333333331</v>
      </c>
      <c r="X6" s="39">
        <v>0.14000000000000001</v>
      </c>
      <c r="Y6" s="39">
        <v>1</v>
      </c>
    </row>
    <row r="7" spans="2:26" ht="15" customHeight="1" x14ac:dyDescent="0.25">
      <c r="P7" s="6" t="s">
        <v>130</v>
      </c>
      <c r="T7">
        <v>3</v>
      </c>
      <c r="U7" s="39">
        <v>0.33</v>
      </c>
      <c r="V7" s="39">
        <f>2/3</f>
        <v>0.66666666666666663</v>
      </c>
      <c r="W7" s="7">
        <f t="shared" si="0"/>
        <v>0.33333333333333331</v>
      </c>
      <c r="X7" s="39">
        <v>0.14000000000000001</v>
      </c>
      <c r="Y7" s="39">
        <v>1</v>
      </c>
    </row>
    <row r="8" spans="2:26" x14ac:dyDescent="0.25">
      <c r="B8" s="41" t="s">
        <v>35</v>
      </c>
      <c r="C8" s="42"/>
      <c r="D8" s="42"/>
      <c r="E8" s="42"/>
      <c r="F8" s="42"/>
      <c r="G8" s="42"/>
      <c r="H8" s="20"/>
      <c r="I8" s="41" t="s">
        <v>36</v>
      </c>
      <c r="J8" s="42"/>
      <c r="K8" s="42"/>
      <c r="L8" s="42"/>
      <c r="M8" s="42"/>
      <c r="N8" s="42"/>
      <c r="P8" s="6" t="s">
        <v>129</v>
      </c>
      <c r="T8">
        <v>4</v>
      </c>
      <c r="U8" s="39">
        <v>0.37</v>
      </c>
      <c r="V8" s="39">
        <f>2/3</f>
        <v>0.66666666666666663</v>
      </c>
      <c r="W8" s="7">
        <f t="shared" si="0"/>
        <v>0.33333333333333331</v>
      </c>
      <c r="X8" s="39">
        <v>0.14000000000000001</v>
      </c>
      <c r="Y8" s="39">
        <v>1</v>
      </c>
    </row>
    <row r="9" spans="2:26" x14ac:dyDescent="0.25">
      <c r="B9" t="s">
        <v>44</v>
      </c>
      <c r="D9" s="46" t="s">
        <v>128</v>
      </c>
      <c r="E9" s="46"/>
      <c r="F9" s="46"/>
      <c r="G9" s="46"/>
      <c r="I9" t="s">
        <v>58</v>
      </c>
      <c r="K9" s="46" t="s">
        <v>61</v>
      </c>
      <c r="L9" s="46"/>
      <c r="M9" s="46"/>
      <c r="N9" s="46"/>
      <c r="P9" s="6" t="s">
        <v>126</v>
      </c>
      <c r="T9">
        <v>5</v>
      </c>
      <c r="U9" s="39">
        <f>IF(Z9,IF(G23&lt;400,0.54,0.74),0.85)</f>
        <v>0.85</v>
      </c>
      <c r="V9" s="45">
        <f>IF(Z9,2/3,0.66)</f>
        <v>0.66</v>
      </c>
      <c r="W9" s="7">
        <f t="shared" si="0"/>
        <v>0.33333333333333331</v>
      </c>
      <c r="X9" s="39">
        <v>0.14000000000000001</v>
      </c>
      <c r="Y9" s="7">
        <f>IF(Z9,1,((G37/G10)^-0.56)*(G11/G10)^0.13)</f>
        <v>1.4154434799607862</v>
      </c>
      <c r="Z9" t="b">
        <f>IF(AND((ABS(G10-3*G11)&lt;0.001),ABS(G10-G37)&lt;0.001),TRUE,FALSE)</f>
        <v>0</v>
      </c>
    </row>
    <row r="10" spans="2:26" x14ac:dyDescent="0.25">
      <c r="B10" t="s">
        <v>87</v>
      </c>
      <c r="E10" s="8" t="s">
        <v>18</v>
      </c>
      <c r="G10" s="26">
        <v>2400</v>
      </c>
      <c r="I10" t="s">
        <v>31</v>
      </c>
      <c r="L10" s="8" t="s">
        <v>6</v>
      </c>
      <c r="N10" s="26">
        <v>2</v>
      </c>
      <c r="P10" s="6" t="s">
        <v>39</v>
      </c>
      <c r="T10">
        <v>6</v>
      </c>
      <c r="U10" s="39">
        <v>0.54</v>
      </c>
      <c r="V10" s="39">
        <f>2/3</f>
        <v>0.66666666666666663</v>
      </c>
      <c r="W10" s="39">
        <v>0.25</v>
      </c>
      <c r="X10" s="39">
        <v>0.14000000000000001</v>
      </c>
      <c r="Y10" s="39">
        <v>1</v>
      </c>
    </row>
    <row r="11" spans="2:26" x14ac:dyDescent="0.25">
      <c r="B11" t="s">
        <v>88</v>
      </c>
      <c r="E11" s="8" t="s">
        <v>18</v>
      </c>
      <c r="G11" s="26">
        <v>800</v>
      </c>
      <c r="I11" t="s">
        <v>7</v>
      </c>
      <c r="L11" s="8" t="s">
        <v>93</v>
      </c>
      <c r="N11" s="26">
        <v>10</v>
      </c>
      <c r="P11" s="6" t="s">
        <v>40</v>
      </c>
      <c r="T11">
        <v>7</v>
      </c>
      <c r="U11" s="39">
        <f>IF(G23&lt;=300,1,IF(G23&lt;4000,0.38,0.55))</f>
        <v>0.55000000000000004</v>
      </c>
      <c r="V11" s="39">
        <f>IF(G23&lt;=300,0.5,2/3)</f>
        <v>0.66666666666666663</v>
      </c>
      <c r="W11" s="7">
        <f>IF(G23&gt;4000,0.25,0.14)</f>
        <v>0.25</v>
      </c>
      <c r="X11" s="39">
        <f>IF(G23&lt;4000,0.18,0.14)</f>
        <v>0.14000000000000001</v>
      </c>
      <c r="Y11" s="39">
        <v>1</v>
      </c>
    </row>
    <row r="12" spans="2:26" x14ac:dyDescent="0.25">
      <c r="B12" t="s">
        <v>89</v>
      </c>
      <c r="E12" s="8" t="s">
        <v>45</v>
      </c>
      <c r="G12" s="26">
        <v>50</v>
      </c>
      <c r="I12" t="s">
        <v>90</v>
      </c>
      <c r="L12" s="8" t="s">
        <v>18</v>
      </c>
      <c r="N12" s="7">
        <f>T26*25.4</f>
        <v>52.501800000000003</v>
      </c>
      <c r="P12" s="6" t="s">
        <v>41</v>
      </c>
      <c r="T12">
        <v>8</v>
      </c>
      <c r="U12" s="7">
        <v>0.3</v>
      </c>
      <c r="V12" s="39">
        <f>2/3</f>
        <v>0.66666666666666663</v>
      </c>
      <c r="W12" s="7">
        <f>1/3</f>
        <v>0.33333333333333331</v>
      </c>
      <c r="X12" s="39">
        <v>0.14000000000000001</v>
      </c>
      <c r="Y12" s="39">
        <v>1</v>
      </c>
    </row>
    <row r="14" spans="2:26" x14ac:dyDescent="0.25">
      <c r="B14" s="43" t="s">
        <v>46</v>
      </c>
      <c r="C14" s="44"/>
      <c r="D14" s="44"/>
      <c r="E14" s="44"/>
      <c r="F14" s="44"/>
      <c r="G14" s="44"/>
      <c r="I14" s="43" t="s">
        <v>46</v>
      </c>
      <c r="J14" s="44"/>
      <c r="K14" s="44"/>
      <c r="L14" s="44"/>
      <c r="M14" s="44"/>
      <c r="N14" s="44"/>
      <c r="P14" t="s">
        <v>5</v>
      </c>
      <c r="T14">
        <f>IF(D9=P5,1,IF(D9=P6,2,IF(D9=P7,3,IF(D9=P8,4,IF(D9=P9,5,IF(D9=P10,6,IF(D9=P11,7,IF(D9=P12,8))))))))</f>
        <v>2</v>
      </c>
      <c r="U14">
        <f>VLOOKUP(T14,T5:X12,2)</f>
        <v>0.68</v>
      </c>
      <c r="V14">
        <f>VLOOKUP(T14,T5:X12,3)</f>
        <v>0.66666666666666663</v>
      </c>
      <c r="W14" s="2">
        <f>VLOOKUP(T14,T5:Y12,4)</f>
        <v>0.33333333333333331</v>
      </c>
      <c r="X14">
        <f>VLOOKUP(T14,T5:X12,5)</f>
        <v>0.14000000000000001</v>
      </c>
      <c r="Y14">
        <f>VLOOKUP(T14,T5:Y12,6)</f>
        <v>1</v>
      </c>
    </row>
    <row r="15" spans="2:26" x14ac:dyDescent="0.25">
      <c r="B15" t="s">
        <v>8</v>
      </c>
      <c r="D15" s="21" t="s">
        <v>47</v>
      </c>
      <c r="E15" s="8" t="s">
        <v>20</v>
      </c>
      <c r="G15" s="22">
        <v>700</v>
      </c>
      <c r="I15" t="s">
        <v>8</v>
      </c>
      <c r="K15" s="21" t="s">
        <v>47</v>
      </c>
      <c r="L15" s="8" t="s">
        <v>20</v>
      </c>
      <c r="N15" s="22">
        <v>980</v>
      </c>
    </row>
    <row r="16" spans="2:26" x14ac:dyDescent="0.25">
      <c r="B16" t="s">
        <v>9</v>
      </c>
      <c r="D16" s="21" t="s">
        <v>48</v>
      </c>
      <c r="E16" s="8" t="s">
        <v>10</v>
      </c>
      <c r="G16" s="26">
        <v>4.5</v>
      </c>
      <c r="I16" t="s">
        <v>9</v>
      </c>
      <c r="K16" s="21" t="s">
        <v>48</v>
      </c>
      <c r="L16" s="8" t="s">
        <v>10</v>
      </c>
      <c r="N16" s="26">
        <v>1.24E-2</v>
      </c>
    </row>
    <row r="17" spans="2:26" x14ac:dyDescent="0.25">
      <c r="B17" t="s">
        <v>11</v>
      </c>
      <c r="D17" s="21" t="s">
        <v>49</v>
      </c>
      <c r="E17" s="8" t="s">
        <v>21</v>
      </c>
      <c r="G17" s="26">
        <v>0.7</v>
      </c>
      <c r="I17" t="s">
        <v>11</v>
      </c>
      <c r="K17" s="21" t="s">
        <v>49</v>
      </c>
      <c r="L17" s="8" t="s">
        <v>21</v>
      </c>
      <c r="N17" s="26">
        <v>0.90500000000000003</v>
      </c>
    </row>
    <row r="18" spans="2:26" x14ac:dyDescent="0.25">
      <c r="B18" t="s">
        <v>50</v>
      </c>
      <c r="D18" s="21" t="s">
        <v>51</v>
      </c>
      <c r="E18" s="8" t="s">
        <v>52</v>
      </c>
      <c r="G18" s="26">
        <v>0.625</v>
      </c>
      <c r="I18" t="s">
        <v>50</v>
      </c>
      <c r="K18" s="21" t="s">
        <v>51</v>
      </c>
      <c r="L18" s="8" t="s">
        <v>52</v>
      </c>
      <c r="N18" s="26">
        <v>0.193</v>
      </c>
      <c r="P18" s="36" t="s">
        <v>122</v>
      </c>
    </row>
    <row r="19" spans="2:26" ht="18" x14ac:dyDescent="0.35">
      <c r="B19" t="s">
        <v>53</v>
      </c>
      <c r="D19" s="21" t="s">
        <v>54</v>
      </c>
      <c r="E19" s="8" t="s">
        <v>10</v>
      </c>
      <c r="G19" s="26">
        <v>3.5</v>
      </c>
      <c r="I19" t="s">
        <v>53</v>
      </c>
      <c r="K19" s="21" t="s">
        <v>54</v>
      </c>
      <c r="L19" s="8" t="s">
        <v>10</v>
      </c>
      <c r="N19" s="26">
        <v>1.23E-2</v>
      </c>
      <c r="P19" t="s">
        <v>33</v>
      </c>
      <c r="Q19" t="s">
        <v>32</v>
      </c>
      <c r="R19" t="s">
        <v>34</v>
      </c>
      <c r="S19" t="s">
        <v>68</v>
      </c>
      <c r="U19" t="s">
        <v>59</v>
      </c>
      <c r="X19">
        <v>1</v>
      </c>
    </row>
    <row r="20" spans="2:26" x14ac:dyDescent="0.25">
      <c r="B20" t="s">
        <v>63</v>
      </c>
      <c r="D20" s="21" t="s">
        <v>14</v>
      </c>
      <c r="E20" s="8" t="s">
        <v>91</v>
      </c>
      <c r="G20" s="26">
        <v>2.0000000000000001E-4</v>
      </c>
      <c r="I20" t="s">
        <v>63</v>
      </c>
      <c r="K20" s="21" t="s">
        <v>14</v>
      </c>
      <c r="L20" s="8" t="s">
        <v>91</v>
      </c>
      <c r="N20" s="26">
        <v>2.0000000000000001E-4</v>
      </c>
      <c r="P20" s="37">
        <v>1</v>
      </c>
      <c r="Q20" s="16">
        <v>1.3149999999999999</v>
      </c>
      <c r="R20" s="15">
        <v>1.0489999999999999</v>
      </c>
      <c r="S20">
        <v>0.9</v>
      </c>
      <c r="U20" t="s">
        <v>60</v>
      </c>
      <c r="X20">
        <v>2</v>
      </c>
    </row>
    <row r="21" spans="2:26" x14ac:dyDescent="0.25">
      <c r="P21" s="37">
        <v>1.5</v>
      </c>
      <c r="Q21" s="16">
        <v>1.9</v>
      </c>
      <c r="R21" s="15">
        <v>1.61</v>
      </c>
      <c r="S21">
        <v>0.9</v>
      </c>
      <c r="U21" t="s">
        <v>5</v>
      </c>
      <c r="X21">
        <f>IF(K9=U19,X19,X20)</f>
        <v>1</v>
      </c>
    </row>
    <row r="22" spans="2:26" x14ac:dyDescent="0.25">
      <c r="B22" s="43" t="s">
        <v>55</v>
      </c>
      <c r="C22" s="44"/>
      <c r="D22" s="44"/>
      <c r="E22" s="44"/>
      <c r="F22" s="44"/>
      <c r="G22" s="44"/>
      <c r="I22" s="43" t="s">
        <v>64</v>
      </c>
      <c r="J22" s="44"/>
      <c r="K22" s="44"/>
      <c r="L22" s="44"/>
      <c r="M22" s="44"/>
      <c r="N22" s="44"/>
      <c r="P22" s="37">
        <v>2</v>
      </c>
      <c r="Q22" s="16">
        <v>2.375</v>
      </c>
      <c r="R22" s="15">
        <v>2.0670000000000002</v>
      </c>
      <c r="S22">
        <v>0.9</v>
      </c>
    </row>
    <row r="23" spans="2:26" x14ac:dyDescent="0.25">
      <c r="B23" t="s">
        <v>13</v>
      </c>
      <c r="G23" s="40">
        <f>(G11/1000)^2*(G12/60)*G15/(G16/1000)</f>
        <v>82962.962962962993</v>
      </c>
      <c r="I23" t="s">
        <v>13</v>
      </c>
      <c r="N23" s="25">
        <f>(T29*0.0254)*T33*N15/(N16/1000)</f>
        <v>16725830.36613689</v>
      </c>
      <c r="P23" s="37">
        <v>3</v>
      </c>
      <c r="Q23" s="16">
        <v>3.5</v>
      </c>
      <c r="R23" s="15">
        <v>3.0680000000000001</v>
      </c>
      <c r="S23">
        <v>0.93</v>
      </c>
    </row>
    <row r="24" spans="2:26" x14ac:dyDescent="0.25">
      <c r="B24" t="s">
        <v>56</v>
      </c>
      <c r="G24" s="27">
        <f>G17*(G16/1000)/(G18/3600)</f>
        <v>18.143999999999998</v>
      </c>
      <c r="I24" t="s">
        <v>56</v>
      </c>
      <c r="N24" s="27">
        <f>N17*(N16/1000)/(N18/3600)</f>
        <v>0.20932227979274612</v>
      </c>
      <c r="P24" s="37">
        <v>4</v>
      </c>
      <c r="Q24" s="16">
        <v>4.5</v>
      </c>
      <c r="R24" s="15">
        <v>4.0259999999999998</v>
      </c>
      <c r="S24">
        <v>0.94</v>
      </c>
    </row>
    <row r="25" spans="2:26" x14ac:dyDescent="0.25">
      <c r="B25" s="23" t="s">
        <v>57</v>
      </c>
      <c r="G25" s="28">
        <f>U14*(G23^V14)*(G24^(W14))*((G16/G19)^X14)*Y14</f>
        <v>3520.6510899161567</v>
      </c>
      <c r="I25" t="s">
        <v>57</v>
      </c>
      <c r="N25" s="28">
        <f>T44</f>
        <v>10841.785982590707</v>
      </c>
      <c r="W25" t="s">
        <v>74</v>
      </c>
      <c r="Y25">
        <f>G36</f>
        <v>2000</v>
      </c>
      <c r="Z25" t="s">
        <v>18</v>
      </c>
    </row>
    <row r="26" spans="2:26" x14ac:dyDescent="0.25">
      <c r="B26" s="23" t="s">
        <v>15</v>
      </c>
      <c r="E26" s="8" t="s">
        <v>92</v>
      </c>
      <c r="G26" s="51">
        <f>G25*G18/(G10/1000)</f>
        <v>916.83622133233257</v>
      </c>
      <c r="I26" t="s">
        <v>16</v>
      </c>
      <c r="L26" s="8" t="s">
        <v>92</v>
      </c>
      <c r="N26" s="55">
        <f>N25*N18/(T29*0.0254)</f>
        <v>25372.547181028491</v>
      </c>
      <c r="P26" t="s">
        <v>34</v>
      </c>
      <c r="T26">
        <f>VLOOKUP(N10,P20:R24,3)</f>
        <v>2.0670000000000002</v>
      </c>
      <c r="U26" t="s">
        <v>6</v>
      </c>
      <c r="W26" t="s">
        <v>72</v>
      </c>
      <c r="Y26">
        <f>T27+T28</f>
        <v>3.125</v>
      </c>
      <c r="Z26" t="s">
        <v>6</v>
      </c>
    </row>
    <row r="27" spans="2:26" x14ac:dyDescent="0.25">
      <c r="B27" s="23" t="s">
        <v>136</v>
      </c>
      <c r="E27" s="8" t="s">
        <v>19</v>
      </c>
      <c r="G27" s="29">
        <f>T50</f>
        <v>134.91303617211531</v>
      </c>
      <c r="I27" t="s">
        <v>12</v>
      </c>
      <c r="L27" s="8" t="s">
        <v>22</v>
      </c>
      <c r="N27" s="27">
        <f>T33</f>
        <v>2.5661924744178974</v>
      </c>
      <c r="P27" t="s">
        <v>32</v>
      </c>
      <c r="T27">
        <f>VLOOKUP(N10,P20:R24,2)</f>
        <v>2.375</v>
      </c>
      <c r="U27" t="s">
        <v>6</v>
      </c>
      <c r="Y27">
        <f>Y26*25.4</f>
        <v>79.375</v>
      </c>
      <c r="Z27" t="s">
        <v>18</v>
      </c>
    </row>
    <row r="28" spans="2:26" x14ac:dyDescent="0.25">
      <c r="I28" t="s">
        <v>71</v>
      </c>
      <c r="N28" s="27" t="str">
        <f>T34</f>
        <v>Turbulent</v>
      </c>
      <c r="P28" t="s">
        <v>62</v>
      </c>
      <c r="T28">
        <v>0.75</v>
      </c>
      <c r="U28" t="s">
        <v>6</v>
      </c>
      <c r="W28" t="s">
        <v>73</v>
      </c>
      <c r="Y28">
        <f>ROUNDDOWN(Y25/Y27,0)</f>
        <v>25</v>
      </c>
    </row>
    <row r="29" spans="2:26" x14ac:dyDescent="0.25">
      <c r="B29" s="43" t="s">
        <v>82</v>
      </c>
      <c r="C29" s="44"/>
      <c r="D29" s="44"/>
      <c r="E29" s="44"/>
      <c r="F29" s="44"/>
      <c r="G29" s="44"/>
      <c r="P29" t="s">
        <v>65</v>
      </c>
      <c r="T29" s="2">
        <f>IF(X21=1,PI()*(T26/2),0.708*T26)</f>
        <v>3.2468360074850513</v>
      </c>
      <c r="U29" t="s">
        <v>6</v>
      </c>
      <c r="W29" t="s">
        <v>75</v>
      </c>
      <c r="Y29" s="3">
        <f>PI()*(G10/1000)*Y28/2</f>
        <v>94.247779607693786</v>
      </c>
      <c r="Z29" t="s">
        <v>17</v>
      </c>
    </row>
    <row r="30" spans="2:26" x14ac:dyDescent="0.25">
      <c r="B30" t="s">
        <v>83</v>
      </c>
      <c r="F30" s="46" t="s">
        <v>3</v>
      </c>
      <c r="G30" s="46"/>
      <c r="P30" t="s">
        <v>66</v>
      </c>
      <c r="T30" s="4">
        <f>IF(X21=1,G10+2*(N12/2),G10+2*(N12/4))+2*G31</f>
        <v>2468.5018</v>
      </c>
      <c r="U30" t="s">
        <v>18</v>
      </c>
    </row>
    <row r="31" spans="2:26" x14ac:dyDescent="0.25">
      <c r="B31" t="s">
        <v>85</v>
      </c>
      <c r="E31" s="8" t="s">
        <v>18</v>
      </c>
      <c r="G31" s="35">
        <v>8</v>
      </c>
      <c r="P31" t="s">
        <v>67</v>
      </c>
      <c r="T31" s="4">
        <f>(T30+G10)/2</f>
        <v>2434.2509</v>
      </c>
      <c r="U31" t="s">
        <v>18</v>
      </c>
      <c r="W31" s="6" t="s">
        <v>84</v>
      </c>
      <c r="X31" s="6"/>
      <c r="Y31" s="3">
        <f>0.85984523*11.1</f>
        <v>9.5442820529999999</v>
      </c>
    </row>
    <row r="32" spans="2:26" x14ac:dyDescent="0.25">
      <c r="B32" t="s">
        <v>86</v>
      </c>
      <c r="E32" s="8" t="s">
        <v>92</v>
      </c>
      <c r="F32" s="8"/>
      <c r="G32" s="54">
        <f>1/(1/$G$26+1/$N$26+$G$20+$N$20+($G$31/1000)/$Y$34)</f>
        <v>575.7464805505341</v>
      </c>
      <c r="P32" t="s">
        <v>69</v>
      </c>
      <c r="T32" s="24">
        <f>IF(X21=1,(PI()/8)*(T26/12)^2,0.154*(T26/12)^2)*(0.3048)^2</f>
        <v>1.0824510653308947E-3</v>
      </c>
      <c r="U32" t="s">
        <v>70</v>
      </c>
      <c r="W32" s="6" t="s">
        <v>4</v>
      </c>
      <c r="X32" s="6"/>
      <c r="Y32" s="3">
        <f>0.85984523*18.1727</f>
        <v>15.625709411220999</v>
      </c>
    </row>
    <row r="33" spans="2:26" x14ac:dyDescent="0.25">
      <c r="P33" t="s">
        <v>12</v>
      </c>
      <c r="T33" s="2">
        <f>(N11/3600)/T32</f>
        <v>2.5661924744178974</v>
      </c>
      <c r="U33" t="s">
        <v>22</v>
      </c>
      <c r="W33" s="6" t="s">
        <v>3</v>
      </c>
      <c r="X33" s="6"/>
      <c r="Y33" s="3">
        <f>0.85984523*45</f>
        <v>38.693035350000002</v>
      </c>
    </row>
    <row r="34" spans="2:26" x14ac:dyDescent="0.25">
      <c r="B34" s="43" t="s">
        <v>94</v>
      </c>
      <c r="C34" s="44"/>
      <c r="D34" s="44"/>
      <c r="E34" s="44"/>
      <c r="F34" s="44"/>
      <c r="G34" s="44"/>
      <c r="I34" s="43" t="s">
        <v>102</v>
      </c>
      <c r="J34" s="44"/>
      <c r="K34" s="44"/>
      <c r="L34" s="44"/>
      <c r="M34" s="44"/>
      <c r="N34" s="44"/>
      <c r="P34" t="s">
        <v>71</v>
      </c>
      <c r="T34" t="str">
        <f>IF(N23&lt;=2100,"Laminar",IF(N23&gt;=10000,"Turbulent","Transient"))</f>
        <v>Turbulent</v>
      </c>
      <c r="W34" s="6" t="s">
        <v>5</v>
      </c>
      <c r="X34" s="6"/>
      <c r="Y34">
        <f>IF(F30=W31,Y31,IF(F30=W32,Y32,Y33))</f>
        <v>38.693035350000002</v>
      </c>
    </row>
    <row r="35" spans="2:26" x14ac:dyDescent="0.25">
      <c r="B35" t="s">
        <v>58</v>
      </c>
      <c r="D35" s="46" t="s">
        <v>96</v>
      </c>
      <c r="E35" s="46"/>
      <c r="F35" s="46"/>
      <c r="G35" s="46"/>
      <c r="I35" t="s">
        <v>64</v>
      </c>
      <c r="L35" s="8" t="s">
        <v>92</v>
      </c>
      <c r="N35" s="32">
        <v>7323.64</v>
      </c>
    </row>
    <row r="36" spans="2:26" x14ac:dyDescent="0.25">
      <c r="B36" t="s">
        <v>97</v>
      </c>
      <c r="E36" s="8" t="s">
        <v>18</v>
      </c>
      <c r="G36" s="26">
        <v>2000</v>
      </c>
      <c r="I36" s="5" t="s">
        <v>103</v>
      </c>
      <c r="P36" t="s">
        <v>76</v>
      </c>
      <c r="T36">
        <f>0.027*(N23^0.8)*(N24^0.33)*((N16/N19)^0.14*(1+3.5*T29*25.4/T31))</f>
        <v>10841.785982590707</v>
      </c>
      <c r="W36" t="s">
        <v>58</v>
      </c>
    </row>
    <row r="37" spans="2:26" x14ac:dyDescent="0.25">
      <c r="B37" t="s">
        <v>98</v>
      </c>
      <c r="E37" s="8" t="s">
        <v>18</v>
      </c>
      <c r="G37" s="26">
        <v>1000</v>
      </c>
      <c r="I37" t="s">
        <v>104</v>
      </c>
      <c r="L37" s="8" t="s">
        <v>92</v>
      </c>
      <c r="N37" s="33">
        <f>1/(1/$G$26+1/$N$35+$G$20+$N$20+($G$31/1000)/$Y$34)</f>
        <v>545.2541827629102</v>
      </c>
      <c r="P37" t="s">
        <v>77</v>
      </c>
      <c r="T37">
        <f>0.027*(10000^0.8)*(N24^0.33)*((N16/N19)^0.14*(1+3.5*T29*25.4/T31))</f>
        <v>28.601623123587913</v>
      </c>
      <c r="W37" s="6" t="s">
        <v>95</v>
      </c>
      <c r="X37" s="6"/>
    </row>
    <row r="38" spans="2:26" x14ac:dyDescent="0.25">
      <c r="B38" t="s">
        <v>99</v>
      </c>
      <c r="E38" s="8" t="s">
        <v>23</v>
      </c>
      <c r="F38" s="8"/>
      <c r="G38" s="34">
        <f>T47</f>
        <v>6.785840131753953</v>
      </c>
      <c r="I38" s="5" t="s">
        <v>119</v>
      </c>
      <c r="N38" s="31" t="s">
        <v>107</v>
      </c>
      <c r="W38" s="6" t="s">
        <v>96</v>
      </c>
      <c r="X38" s="6"/>
    </row>
    <row r="39" spans="2:26" x14ac:dyDescent="0.25">
      <c r="B39" t="s">
        <v>118</v>
      </c>
      <c r="E39" s="8" t="s">
        <v>116</v>
      </c>
      <c r="G39" s="52">
        <f>IF(D35=W37,Y46,Y49)</f>
        <v>17.065889934882271</v>
      </c>
      <c r="I39" s="5" t="s">
        <v>120</v>
      </c>
      <c r="P39" t="s">
        <v>78</v>
      </c>
      <c r="T39">
        <f>1.86*((N23*N24*(T29*0.0254/Y29))^0.33)*((N16/N19)^0.14)</f>
        <v>26.330546503396061</v>
      </c>
    </row>
    <row r="40" spans="2:26" x14ac:dyDescent="0.25">
      <c r="P40" t="s">
        <v>80</v>
      </c>
      <c r="T40">
        <f>1.86*((2100*N24*(T29*0.0254/Y29))^0.33)*((N16/N19)^0.14)</f>
        <v>1.3585458603950591</v>
      </c>
      <c r="W40" t="s">
        <v>105</v>
      </c>
    </row>
    <row r="41" spans="2:26" x14ac:dyDescent="0.25">
      <c r="B41" s="43" t="s">
        <v>108</v>
      </c>
      <c r="C41" s="44"/>
      <c r="D41" s="44"/>
      <c r="E41" s="44"/>
      <c r="F41" s="44"/>
      <c r="G41" s="44"/>
      <c r="W41" s="6" t="s">
        <v>106</v>
      </c>
    </row>
    <row r="42" spans="2:26" x14ac:dyDescent="0.25">
      <c r="B42" t="s">
        <v>109</v>
      </c>
      <c r="E42" s="8" t="s">
        <v>19</v>
      </c>
      <c r="G42" s="38">
        <v>45</v>
      </c>
      <c r="P42" t="s">
        <v>79</v>
      </c>
      <c r="T42" s="24">
        <f>T40+(T37-T40)*(N23-2100)/(10000-2100)</f>
        <v>57672.988734907463</v>
      </c>
      <c r="W42" s="6" t="s">
        <v>107</v>
      </c>
    </row>
    <row r="43" spans="2:26" x14ac:dyDescent="0.25">
      <c r="B43" t="s">
        <v>110</v>
      </c>
      <c r="E43" s="8" t="s">
        <v>19</v>
      </c>
      <c r="G43" s="38">
        <v>80</v>
      </c>
      <c r="W43" s="36" t="s">
        <v>112</v>
      </c>
    </row>
    <row r="44" spans="2:26" x14ac:dyDescent="0.25">
      <c r="B44" t="s">
        <v>111</v>
      </c>
      <c r="E44" s="8" t="s">
        <v>19</v>
      </c>
      <c r="G44" s="38">
        <v>150</v>
      </c>
      <c r="P44" t="s">
        <v>81</v>
      </c>
      <c r="T44">
        <f>IF(N23&lt;=2100,T39,IF(N23&gt;=10000,T36,T42))</f>
        <v>10841.785982590707</v>
      </c>
      <c r="W44" t="s">
        <v>113</v>
      </c>
      <c r="Y44">
        <f>IF(N38="Yes",N37,G32)</f>
        <v>575.7464805505341</v>
      </c>
    </row>
    <row r="45" spans="2:26" x14ac:dyDescent="0.25">
      <c r="B45" t="s">
        <v>125</v>
      </c>
      <c r="E45" s="8" t="s">
        <v>19</v>
      </c>
      <c r="G45" s="53">
        <f>IF(D35=W47,Y50,G44)</f>
        <v>125.05935806722539</v>
      </c>
      <c r="P45" t="s">
        <v>99</v>
      </c>
      <c r="T45" s="2">
        <f>PI()*(G10/1000)*(G37/1000)</f>
        <v>7.5398223686155035</v>
      </c>
      <c r="U45" t="s">
        <v>70</v>
      </c>
      <c r="W45" t="s">
        <v>114</v>
      </c>
      <c r="Y45">
        <f>(PI()*(G10/1000)^2*(G37/1000)/4)*G15</f>
        <v>3166.7253948185116</v>
      </c>
      <c r="Z45" t="s">
        <v>115</v>
      </c>
    </row>
    <row r="46" spans="2:26" x14ac:dyDescent="0.25">
      <c r="P46" t="s">
        <v>100</v>
      </c>
      <c r="T46">
        <f>VLOOKUP(N10,P20:S24,4)</f>
        <v>0.9</v>
      </c>
      <c r="W46" t="s">
        <v>95</v>
      </c>
      <c r="Y46" s="2">
        <f>LN((G44-G42)/(G44-G43))/((Y44*G38)/(Y45*G17))*60</f>
        <v>13.803151886088678</v>
      </c>
      <c r="Z46" t="s">
        <v>116</v>
      </c>
    </row>
    <row r="47" spans="2:26" x14ac:dyDescent="0.25">
      <c r="P47" t="s">
        <v>101</v>
      </c>
      <c r="T47" s="2">
        <f>T45*T46</f>
        <v>6.785840131753953</v>
      </c>
      <c r="U47" t="s">
        <v>70</v>
      </c>
      <c r="W47" t="s">
        <v>96</v>
      </c>
    </row>
    <row r="48" spans="2:26" x14ac:dyDescent="0.25">
      <c r="P48" t="s">
        <v>134</v>
      </c>
      <c r="T48">
        <f>(G42+G43)/2</f>
        <v>62.5</v>
      </c>
      <c r="W48" t="s">
        <v>117</v>
      </c>
      <c r="Y48" s="2">
        <f>EXP(Y44*G38/(N11*N15*N17))</f>
        <v>1.5535063747593771</v>
      </c>
    </row>
    <row r="49" spans="16:26" x14ac:dyDescent="0.25">
      <c r="P49" t="s">
        <v>133</v>
      </c>
      <c r="T49" s="3">
        <f>(G44+G45)/2</f>
        <v>137.52967903361269</v>
      </c>
      <c r="W49" t="s">
        <v>118</v>
      </c>
      <c r="Y49" s="3">
        <f>60*LN((G44-G42)/(G44-G43))/( ((N11*N15*N17)/(Y45*G17))*(Y48-1)/Y48)</f>
        <v>17.065889934882271</v>
      </c>
      <c r="Z49" t="s">
        <v>116</v>
      </c>
    </row>
    <row r="50" spans="16:26" x14ac:dyDescent="0.25">
      <c r="P50" t="s">
        <v>135</v>
      </c>
      <c r="T50" s="3">
        <f>T49-(T49-T48)/(1+N26/G26)</f>
        <v>134.91303617211531</v>
      </c>
      <c r="W50" t="s">
        <v>123</v>
      </c>
      <c r="Y50">
        <f>G43+(G44-G43)/Y48</f>
        <v>125.05935806722539</v>
      </c>
      <c r="Z50" t="s">
        <v>124</v>
      </c>
    </row>
    <row r="103" spans="2:18" x14ac:dyDescent="0.25">
      <c r="O103" s="14"/>
    </row>
    <row r="104" spans="2:18" x14ac:dyDescent="0.25">
      <c r="E104" s="14"/>
      <c r="F104" s="14"/>
      <c r="G104" s="15"/>
      <c r="H104" s="15"/>
      <c r="I104" s="15"/>
      <c r="J104" s="15"/>
      <c r="K104" s="15"/>
      <c r="L104" s="15"/>
      <c r="M104" s="14"/>
      <c r="N104" s="14"/>
      <c r="O104" s="16"/>
      <c r="P104" s="14"/>
      <c r="Q104" s="14"/>
    </row>
    <row r="105" spans="2:18" x14ac:dyDescent="0.25">
      <c r="E105" s="16"/>
      <c r="F105" s="16"/>
      <c r="G105" s="16"/>
      <c r="H105" s="17"/>
      <c r="I105" s="16"/>
      <c r="J105" s="16"/>
      <c r="K105" s="16"/>
      <c r="L105" s="15"/>
      <c r="M105" s="16"/>
      <c r="N105" s="16"/>
      <c r="O105" s="16"/>
      <c r="P105" s="16"/>
      <c r="Q105" s="16"/>
    </row>
    <row r="106" spans="2:18" x14ac:dyDescent="0.25">
      <c r="B106" s="18"/>
      <c r="C106" s="16"/>
      <c r="D106" s="18"/>
      <c r="E106" s="16"/>
      <c r="F106" s="16"/>
      <c r="G106" s="16"/>
      <c r="H106" s="16"/>
      <c r="I106" s="16"/>
      <c r="J106" s="16"/>
      <c r="K106" s="16"/>
      <c r="L106" s="15"/>
      <c r="M106" s="16"/>
      <c r="N106" s="16"/>
      <c r="O106" s="16"/>
      <c r="P106" s="16"/>
      <c r="Q106" s="16"/>
      <c r="R106" s="16"/>
    </row>
    <row r="107" spans="2:18" x14ac:dyDescent="0.25">
      <c r="B107" s="18"/>
      <c r="C107" s="16"/>
      <c r="D107" s="18"/>
      <c r="E107" s="16"/>
      <c r="F107" s="16"/>
      <c r="G107" s="16"/>
      <c r="H107" s="16"/>
      <c r="I107" s="16"/>
      <c r="J107" s="16"/>
      <c r="K107" s="16"/>
      <c r="L107" s="15"/>
      <c r="M107" s="16"/>
      <c r="N107" s="16"/>
      <c r="O107" s="16"/>
      <c r="P107" s="16"/>
      <c r="Q107" s="16"/>
      <c r="R107" s="16"/>
    </row>
    <row r="108" spans="2:18" x14ac:dyDescent="0.25">
      <c r="B108" s="18"/>
      <c r="C108" s="17"/>
      <c r="D108" s="18"/>
      <c r="E108" s="16"/>
      <c r="F108" s="16"/>
      <c r="G108" s="16"/>
      <c r="H108" s="16"/>
      <c r="I108" s="16"/>
      <c r="J108" s="16"/>
      <c r="K108" s="16"/>
      <c r="L108" s="15"/>
      <c r="M108" s="16"/>
      <c r="N108" s="16"/>
      <c r="O108" s="16"/>
      <c r="P108" s="16"/>
      <c r="Q108" s="16"/>
      <c r="R108" s="16"/>
    </row>
    <row r="109" spans="2:18" x14ac:dyDescent="0.25">
      <c r="B109" s="18"/>
      <c r="C109" s="16"/>
      <c r="D109" s="18"/>
      <c r="E109" s="16"/>
      <c r="F109" s="16"/>
      <c r="G109" s="16"/>
      <c r="H109" s="16"/>
      <c r="I109" s="16"/>
      <c r="J109" s="16"/>
      <c r="K109" s="16"/>
      <c r="L109" s="15"/>
      <c r="M109" s="16"/>
      <c r="N109" s="16"/>
      <c r="O109" s="16"/>
      <c r="P109" s="16"/>
      <c r="Q109" s="16"/>
      <c r="R109" s="16"/>
    </row>
    <row r="110" spans="2:18" x14ac:dyDescent="0.25">
      <c r="B110" s="18"/>
      <c r="C110" s="16"/>
      <c r="D110" s="18"/>
      <c r="E110" s="16"/>
      <c r="F110" s="16"/>
      <c r="G110" s="16"/>
      <c r="H110" s="16"/>
      <c r="I110" s="16"/>
      <c r="J110" s="16"/>
      <c r="K110" s="16"/>
      <c r="L110" s="15"/>
      <c r="M110" s="16"/>
      <c r="N110" s="16"/>
      <c r="O110" s="16"/>
      <c r="P110" s="16"/>
      <c r="Q110" s="16"/>
      <c r="R110" s="16"/>
    </row>
    <row r="111" spans="2:18" x14ac:dyDescent="0.25">
      <c r="B111" s="18"/>
      <c r="C111" s="16"/>
      <c r="D111" s="18"/>
      <c r="E111" s="16"/>
      <c r="F111" s="16"/>
      <c r="G111" s="16"/>
      <c r="H111" s="16"/>
      <c r="I111" s="16"/>
      <c r="J111" s="16"/>
      <c r="K111" s="16"/>
      <c r="L111" s="15"/>
      <c r="M111" s="16"/>
      <c r="N111" s="16"/>
      <c r="O111" s="16"/>
      <c r="P111" s="16"/>
      <c r="Q111" s="16"/>
      <c r="R111" s="16"/>
    </row>
    <row r="112" spans="2:18" x14ac:dyDescent="0.25">
      <c r="B112" s="18"/>
      <c r="C112" s="16"/>
      <c r="D112" s="18"/>
      <c r="E112" s="16"/>
      <c r="F112" s="16"/>
      <c r="G112" s="16"/>
      <c r="H112" s="16"/>
      <c r="I112" s="16"/>
      <c r="J112" s="16"/>
      <c r="K112" s="16"/>
      <c r="L112" s="15"/>
      <c r="M112" s="16"/>
      <c r="N112" s="16"/>
      <c r="O112" s="16"/>
      <c r="P112" s="16"/>
      <c r="Q112" s="16"/>
      <c r="R112" s="16"/>
    </row>
    <row r="113" spans="2:18" x14ac:dyDescent="0.25">
      <c r="B113" s="18"/>
      <c r="C113" s="16"/>
      <c r="D113" s="18"/>
      <c r="E113" s="16"/>
      <c r="F113" s="16"/>
      <c r="G113" s="16"/>
      <c r="H113" s="16"/>
      <c r="I113" s="16"/>
      <c r="J113" s="16"/>
      <c r="K113" s="16"/>
      <c r="L113" s="15"/>
      <c r="M113" s="16"/>
      <c r="N113" s="16"/>
      <c r="O113" s="16"/>
      <c r="P113" s="16"/>
      <c r="Q113" s="16"/>
      <c r="R113" s="16"/>
    </row>
    <row r="114" spans="2:18" x14ac:dyDescent="0.25">
      <c r="B114" s="18"/>
      <c r="C114" s="16"/>
      <c r="D114" s="18"/>
      <c r="E114" s="16"/>
      <c r="F114" s="16"/>
      <c r="G114" s="16"/>
      <c r="H114" s="16"/>
      <c r="I114" s="16"/>
      <c r="J114" s="16"/>
      <c r="K114" s="16"/>
      <c r="L114" s="15"/>
      <c r="M114" s="16"/>
      <c r="N114" s="16"/>
      <c r="O114" s="16"/>
      <c r="P114" s="16"/>
      <c r="Q114" s="16"/>
      <c r="R114" s="16"/>
    </row>
    <row r="115" spans="2:18" x14ac:dyDescent="0.25">
      <c r="B115" s="18"/>
      <c r="C115" s="16"/>
      <c r="D115" s="18"/>
      <c r="E115" s="16"/>
      <c r="F115" s="16"/>
      <c r="G115" s="16"/>
      <c r="H115" s="16"/>
      <c r="I115" s="16"/>
      <c r="J115" s="16"/>
      <c r="K115" s="16"/>
      <c r="L115" s="15"/>
      <c r="M115" s="16"/>
      <c r="N115" s="16"/>
      <c r="O115" s="16"/>
      <c r="P115" s="16"/>
      <c r="Q115" s="16"/>
      <c r="R115" s="16"/>
    </row>
    <row r="116" spans="2:18" x14ac:dyDescent="0.25">
      <c r="B116" s="18"/>
      <c r="C116" s="16"/>
      <c r="D116" s="18"/>
      <c r="E116" s="16"/>
      <c r="F116" s="16"/>
      <c r="G116" s="16"/>
      <c r="H116" s="16"/>
      <c r="I116" s="16"/>
      <c r="J116" s="16"/>
      <c r="K116" s="16"/>
      <c r="L116" s="15"/>
      <c r="M116" s="16"/>
      <c r="N116" s="16"/>
      <c r="O116" s="16"/>
      <c r="P116" s="16"/>
      <c r="Q116" s="16"/>
      <c r="R116" s="16"/>
    </row>
    <row r="117" spans="2:18" x14ac:dyDescent="0.25">
      <c r="B117" s="18"/>
      <c r="C117" s="16"/>
      <c r="D117" s="18"/>
      <c r="E117" s="16"/>
      <c r="F117" s="16"/>
      <c r="G117" s="16"/>
      <c r="H117" s="16"/>
      <c r="I117" s="16"/>
      <c r="J117" s="16"/>
      <c r="K117" s="16"/>
      <c r="L117" s="15"/>
      <c r="M117" s="16"/>
      <c r="N117" s="16"/>
      <c r="O117" s="16"/>
      <c r="P117" s="16"/>
      <c r="Q117" s="16"/>
      <c r="R117" s="16"/>
    </row>
    <row r="118" spans="2:18" x14ac:dyDescent="0.25">
      <c r="B118" s="18"/>
      <c r="C118" s="16"/>
      <c r="D118" s="18"/>
      <c r="E118" s="16"/>
      <c r="F118" s="16"/>
      <c r="G118" s="16"/>
      <c r="H118" s="16"/>
      <c r="I118" s="16"/>
      <c r="J118" s="16"/>
      <c r="K118" s="16"/>
      <c r="L118" s="15"/>
      <c r="M118" s="16"/>
      <c r="N118" s="16"/>
      <c r="O118" s="16"/>
      <c r="P118" s="16"/>
      <c r="Q118" s="16"/>
      <c r="R118" s="16"/>
    </row>
    <row r="119" spans="2:18" x14ac:dyDescent="0.25">
      <c r="E119" s="16"/>
      <c r="F119" s="16"/>
      <c r="G119" s="16"/>
      <c r="H119" s="16"/>
      <c r="I119" s="16"/>
      <c r="J119" s="16"/>
      <c r="K119" s="16"/>
      <c r="L119" s="15"/>
      <c r="M119" s="16"/>
      <c r="N119" s="16"/>
      <c r="O119" s="16"/>
      <c r="P119" s="16"/>
      <c r="Q119" s="16"/>
      <c r="R119" s="16"/>
    </row>
    <row r="120" spans="2:18" x14ac:dyDescent="0.25">
      <c r="E120" s="16"/>
      <c r="F120" s="16"/>
      <c r="G120" s="16"/>
      <c r="H120" s="16"/>
      <c r="I120" s="16"/>
      <c r="J120" s="16"/>
      <c r="K120" s="16"/>
      <c r="L120" s="15"/>
      <c r="M120" s="16"/>
      <c r="N120" s="16"/>
      <c r="O120" s="16"/>
      <c r="P120" s="16"/>
      <c r="Q120" s="16"/>
      <c r="R120" s="16"/>
    </row>
    <row r="121" spans="2:18" x14ac:dyDescent="0.25">
      <c r="E121" s="16"/>
      <c r="F121" s="16"/>
      <c r="G121" s="16"/>
      <c r="H121" s="16"/>
      <c r="I121" s="16"/>
      <c r="J121" s="16"/>
      <c r="K121" s="16"/>
      <c r="L121" s="15"/>
      <c r="M121" s="16"/>
      <c r="N121" s="16"/>
      <c r="O121" s="16"/>
      <c r="P121" s="16"/>
      <c r="Q121" s="16"/>
      <c r="R121" s="16"/>
    </row>
    <row r="122" spans="2:18" x14ac:dyDescent="0.25">
      <c r="E122" s="16"/>
      <c r="F122" s="16"/>
      <c r="G122" s="16"/>
      <c r="H122" s="16"/>
      <c r="I122" s="16"/>
      <c r="J122" s="16"/>
      <c r="K122" s="16"/>
      <c r="L122" s="15"/>
      <c r="M122" s="16"/>
      <c r="N122" s="16"/>
      <c r="O122" s="16"/>
      <c r="P122" s="16"/>
      <c r="Q122" s="16"/>
      <c r="R122" s="16"/>
    </row>
    <row r="123" spans="2:18" x14ac:dyDescent="0.25">
      <c r="E123" s="16"/>
      <c r="F123" s="16"/>
      <c r="G123" s="16"/>
      <c r="H123" s="16"/>
      <c r="I123" s="16"/>
      <c r="J123" s="16"/>
      <c r="K123" s="16"/>
      <c r="L123" s="15"/>
      <c r="M123" s="16"/>
      <c r="N123" s="16"/>
      <c r="O123" s="16"/>
      <c r="P123" s="16"/>
      <c r="Q123" s="16"/>
      <c r="R123" s="16"/>
    </row>
    <row r="124" spans="2:18" x14ac:dyDescent="0.25">
      <c r="E124" s="16"/>
      <c r="F124" s="16"/>
      <c r="G124" s="16"/>
      <c r="H124" s="16"/>
      <c r="I124" s="16"/>
      <c r="J124" s="16"/>
      <c r="K124" s="16"/>
      <c r="L124" s="15"/>
      <c r="M124" s="16"/>
      <c r="N124" s="16"/>
      <c r="O124" s="16"/>
      <c r="P124" s="16"/>
      <c r="Q124" s="16"/>
      <c r="R124" s="16"/>
    </row>
    <row r="125" spans="2:18" x14ac:dyDescent="0.25">
      <c r="E125" s="16"/>
      <c r="F125" s="16"/>
      <c r="G125" s="16"/>
      <c r="H125" s="16"/>
      <c r="I125" s="16"/>
      <c r="J125" s="16"/>
      <c r="K125" s="16"/>
      <c r="L125" s="15"/>
      <c r="M125" s="16"/>
      <c r="N125" s="16"/>
      <c r="O125" s="16"/>
      <c r="P125" s="16"/>
      <c r="Q125" s="16"/>
      <c r="R125" s="16"/>
    </row>
    <row r="126" spans="2:18" x14ac:dyDescent="0.25">
      <c r="E126" s="16"/>
      <c r="F126" s="16"/>
      <c r="G126" s="16"/>
      <c r="H126" s="16"/>
      <c r="I126" s="16"/>
      <c r="J126" s="16"/>
      <c r="K126" s="16"/>
      <c r="L126" s="15"/>
      <c r="M126" s="16"/>
      <c r="N126" s="16"/>
      <c r="O126" s="16"/>
      <c r="P126" s="16"/>
      <c r="Q126" s="16"/>
      <c r="R126" s="16"/>
    </row>
    <row r="127" spans="2:18" x14ac:dyDescent="0.25">
      <c r="E127" s="16"/>
      <c r="F127" s="16"/>
      <c r="G127" s="16"/>
      <c r="H127" s="16"/>
      <c r="I127" s="16"/>
      <c r="J127" s="16"/>
      <c r="K127" s="16"/>
      <c r="L127" s="15"/>
      <c r="M127" s="16"/>
      <c r="N127" s="16"/>
      <c r="O127" s="16"/>
      <c r="P127" s="16"/>
      <c r="Q127" s="16"/>
      <c r="R127" s="16"/>
    </row>
    <row r="128" spans="2:18" x14ac:dyDescent="0.25">
      <c r="E128" s="16"/>
      <c r="F128" s="16"/>
      <c r="G128" s="16"/>
      <c r="H128" s="16"/>
      <c r="I128" s="16"/>
      <c r="J128" s="16"/>
      <c r="K128" s="16"/>
      <c r="L128" s="15"/>
      <c r="M128" s="16"/>
      <c r="N128" s="16"/>
      <c r="O128" s="16"/>
      <c r="P128" s="16"/>
      <c r="Q128" s="16"/>
      <c r="R128" s="16"/>
    </row>
    <row r="129" spans="5:18" x14ac:dyDescent="0.25">
      <c r="E129" s="16"/>
      <c r="F129" s="16"/>
      <c r="G129" s="16"/>
      <c r="H129" s="16"/>
      <c r="I129" s="16"/>
      <c r="J129" s="16"/>
      <c r="K129" s="16"/>
      <c r="L129" s="15"/>
      <c r="M129" s="16"/>
      <c r="N129" s="16"/>
      <c r="O129" s="16"/>
      <c r="P129" s="16"/>
      <c r="Q129" s="16"/>
      <c r="R129" s="16"/>
    </row>
    <row r="130" spans="5:18" x14ac:dyDescent="0.25">
      <c r="E130" s="16"/>
      <c r="F130" s="16"/>
      <c r="G130" s="16"/>
      <c r="H130" s="16"/>
      <c r="I130" s="16"/>
      <c r="J130" s="16"/>
      <c r="K130" s="16"/>
      <c r="L130" s="15"/>
      <c r="M130" s="16"/>
      <c r="N130" s="16"/>
      <c r="O130" s="16"/>
      <c r="P130" s="16"/>
      <c r="Q130" s="16"/>
      <c r="R130" s="16"/>
    </row>
    <row r="131" spans="5:18" x14ac:dyDescent="0.25">
      <c r="E131" s="16"/>
      <c r="F131" s="16"/>
      <c r="G131" s="16"/>
      <c r="H131" s="16"/>
      <c r="I131" s="16"/>
      <c r="J131" s="16"/>
      <c r="K131" s="16"/>
      <c r="L131" s="15"/>
      <c r="M131" s="16"/>
      <c r="N131" s="16"/>
      <c r="O131" s="16"/>
      <c r="P131" s="16"/>
      <c r="Q131" s="16"/>
      <c r="R131" s="16"/>
    </row>
    <row r="132" spans="5:18" x14ac:dyDescent="0.25">
      <c r="E132" s="16"/>
      <c r="F132" s="16"/>
      <c r="G132" s="16"/>
      <c r="H132" s="16"/>
      <c r="I132" s="16"/>
      <c r="J132" s="16"/>
      <c r="K132" s="16"/>
      <c r="L132" s="15"/>
      <c r="M132" s="16"/>
      <c r="N132" s="16"/>
      <c r="O132" s="16"/>
      <c r="P132" s="16"/>
      <c r="Q132" s="16"/>
      <c r="R132" s="16"/>
    </row>
    <row r="133" spans="5:18" x14ac:dyDescent="0.25">
      <c r="E133" s="16"/>
      <c r="F133" s="16"/>
      <c r="G133" s="16"/>
      <c r="H133" s="16"/>
      <c r="I133" s="16"/>
      <c r="J133" s="16"/>
      <c r="K133" s="16"/>
      <c r="L133" s="15"/>
      <c r="M133" s="16"/>
      <c r="N133" s="16"/>
      <c r="O133" s="16"/>
      <c r="P133" s="16"/>
      <c r="Q133" s="16"/>
      <c r="R133" s="16"/>
    </row>
    <row r="134" spans="5:18" x14ac:dyDescent="0.25">
      <c r="E134" s="16"/>
      <c r="F134" s="16"/>
      <c r="G134" s="16"/>
      <c r="H134" s="16"/>
      <c r="I134" s="16"/>
      <c r="J134" s="16"/>
      <c r="K134" s="16"/>
      <c r="L134" s="15"/>
      <c r="M134" s="16"/>
      <c r="N134" s="16"/>
      <c r="O134" s="16"/>
      <c r="P134" s="16"/>
      <c r="Q134" s="16"/>
      <c r="R134" s="16"/>
    </row>
    <row r="135" spans="5:18" x14ac:dyDescent="0.25">
      <c r="E135" s="16"/>
      <c r="F135" s="16"/>
      <c r="G135" s="16"/>
      <c r="H135" s="16"/>
      <c r="I135" s="16"/>
      <c r="J135" s="16"/>
      <c r="K135" s="16"/>
      <c r="L135" s="15"/>
      <c r="M135" s="16"/>
      <c r="N135" s="16"/>
      <c r="O135" s="16"/>
      <c r="P135" s="16"/>
      <c r="Q135" s="16"/>
      <c r="R135" s="16"/>
    </row>
    <row r="136" spans="5:18" x14ac:dyDescent="0.25">
      <c r="E136" s="16"/>
      <c r="F136" s="16"/>
      <c r="G136" s="16"/>
      <c r="H136" s="16"/>
      <c r="I136" s="16"/>
      <c r="J136" s="16"/>
      <c r="K136" s="16"/>
      <c r="L136" s="15"/>
      <c r="M136" s="16"/>
      <c r="N136" s="16"/>
      <c r="O136" s="16"/>
      <c r="P136" s="16"/>
      <c r="Q136" s="16"/>
      <c r="R136" s="16"/>
    </row>
    <row r="137" spans="5:18" x14ac:dyDescent="0.25">
      <c r="E137" s="16"/>
      <c r="F137" s="16"/>
      <c r="G137" s="16"/>
      <c r="H137" s="16"/>
      <c r="I137" s="16"/>
      <c r="J137" s="16"/>
      <c r="K137" s="16"/>
      <c r="L137" s="15"/>
      <c r="M137" s="16"/>
      <c r="N137" s="16"/>
      <c r="O137" s="16"/>
      <c r="P137" s="16"/>
      <c r="Q137" s="16"/>
      <c r="R137" s="16"/>
    </row>
    <row r="138" spans="5:18" x14ac:dyDescent="0.25">
      <c r="E138" s="16"/>
      <c r="F138" s="16"/>
      <c r="G138" s="16"/>
      <c r="H138" s="16"/>
      <c r="I138" s="16"/>
      <c r="J138" s="16"/>
      <c r="K138" s="16"/>
      <c r="L138" s="15"/>
      <c r="M138" s="16"/>
      <c r="N138" s="16"/>
      <c r="O138" s="16"/>
      <c r="P138" s="16"/>
      <c r="Q138" s="16"/>
      <c r="R138" s="16"/>
    </row>
    <row r="139" spans="5:18" x14ac:dyDescent="0.25">
      <c r="E139" s="16"/>
      <c r="F139" s="16"/>
      <c r="G139" s="16"/>
      <c r="H139" s="16"/>
      <c r="I139" s="16"/>
      <c r="J139" s="16"/>
      <c r="K139" s="16"/>
      <c r="L139" s="15"/>
      <c r="M139" s="16"/>
      <c r="N139" s="16"/>
      <c r="O139" s="16"/>
      <c r="P139" s="16"/>
      <c r="Q139" s="16"/>
      <c r="R139" s="16"/>
    </row>
    <row r="140" spans="5:18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5:18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5:18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5:18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5:18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5:18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5:18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5:18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5:18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5:18" x14ac:dyDescent="0.25">
      <c r="E149" s="16"/>
      <c r="F149" s="16"/>
      <c r="G149" s="16"/>
      <c r="H149" s="16"/>
      <c r="I149" s="16"/>
      <c r="J149" s="16"/>
      <c r="K149" s="16"/>
      <c r="L149" s="15"/>
      <c r="M149" s="16"/>
      <c r="N149" s="16"/>
      <c r="P149" s="16"/>
      <c r="Q149" s="16"/>
      <c r="R149" s="16"/>
    </row>
  </sheetData>
  <mergeCells count="9">
    <mergeCell ref="D35:G35"/>
    <mergeCell ref="D9:G9"/>
    <mergeCell ref="K9:N9"/>
    <mergeCell ref="F30:G30"/>
    <mergeCell ref="B2:N2"/>
    <mergeCell ref="M3:N3"/>
    <mergeCell ref="M4:N4"/>
    <mergeCell ref="M5:N5"/>
    <mergeCell ref="M6:N6"/>
  </mergeCells>
  <dataValidations count="6">
    <dataValidation type="list" allowBlank="1" showInputMessage="1" showErrorMessage="1" sqref="K9">
      <formula1>$U$19:$U$20</formula1>
    </dataValidation>
    <dataValidation type="list" allowBlank="1" showInputMessage="1" showErrorMessage="1" sqref="N10">
      <formula1>$P$20:$P$24</formula1>
    </dataValidation>
    <dataValidation type="list" allowBlank="1" showInputMessage="1" showErrorMessage="1" sqref="F30">
      <formula1>$W$31:$W$33</formula1>
    </dataValidation>
    <dataValidation type="list" allowBlank="1" showInputMessage="1" showErrorMessage="1" sqref="D35:G35">
      <formula1>$W$37:$W$38</formula1>
    </dataValidation>
    <dataValidation type="list" allowBlank="1" showInputMessage="1" showErrorMessage="1" sqref="N38">
      <formula1>$W$41:$W$42</formula1>
    </dataValidation>
    <dataValidation type="list" allowBlank="1" showInputMessage="1" showErrorMessage="1" sqref="D9">
      <formula1>$P$5:$P$12</formula1>
    </dataValidation>
  </dataValidations>
  <hyperlinks>
    <hyperlink ref="B3" r:id="rId1"/>
  </hyperlinks>
  <pageMargins left="0.25" right="0.25" top="0.75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Half-Pipe</vt:lpstr>
      <vt:lpstr>'Half-Pipe'!Print_Area</vt:lpstr>
    </vt:vector>
  </TitlesOfParts>
  <Manager>ChemSOF</Manager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ChemSOF</dc:creator>
  <cp:lastModifiedBy>Aarav</cp:lastModifiedBy>
  <cp:lastPrinted>2016-05-29T16:54:14Z</cp:lastPrinted>
  <dcterms:created xsi:type="dcterms:W3CDTF">2013-10-06T09:53:17Z</dcterms:created>
  <dcterms:modified xsi:type="dcterms:W3CDTF">2016-05-30T17:54:27Z</dcterms:modified>
</cp:coreProperties>
</file>