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85" windowWidth="10245" windowHeight="7275"/>
  </bookViews>
  <sheets>
    <sheet name="Calculation" sheetId="1" r:id="rId1"/>
  </sheets>
  <externalReferences>
    <externalReference r:id="rId2"/>
  </externalReferences>
  <definedNames>
    <definedName name="A_Outside">'[1]Tubes Pressure Drop'!$D$37</definedName>
    <definedName name="BaffleCut">'[1]Shell Geometry'!$D$10</definedName>
    <definedName name="HighlightDetails">[1]Conversions!$F$34</definedName>
    <definedName name="HighlightGeneral">[1]Conversions!$F$35</definedName>
    <definedName name="HighlightInputs">[1]Conversions!$F$32</definedName>
    <definedName name="HighlightResults">[1]Conversions!$F$33</definedName>
    <definedName name="MTD">'[1]Tubes Pressure Drop'!$D$31</definedName>
    <definedName name="NoShell">'[1]Shell Geometry'!$D$7</definedName>
    <definedName name="Notubes">'[1]Tubes Pressure Drop'!$D$35</definedName>
    <definedName name="Nss">'[1]Shell Geometry'!$D$13</definedName>
    <definedName name="NumberBaffles">'[1]Shell Geometry'!$D$33</definedName>
    <definedName name="_xlnm.Print_Area" localSheetId="0">Calculation!$A$1:$K$239</definedName>
    <definedName name="_xlnm.Print_Titles" localSheetId="0">Calculation!$1:$7</definedName>
    <definedName name="rhov2_bundleIn">[1]Nozzles!$D$44</definedName>
    <definedName name="rhov2_bundleOut">[1]Nozzles!$D$51</definedName>
    <definedName name="rhov2_TS">[1]Nozzles!$D$28</definedName>
    <definedName name="Shell_ID">'[1]Shell Geometry'!$D$8</definedName>
    <definedName name="ShellPasses">'[1]Tubes Pressure Drop'!$D$14</definedName>
    <definedName name="ShellPressureDrop">'[1]Shell Pressure Drop'!$D$64</definedName>
    <definedName name="ShellVelocity">'[1]Shell Pressure Drop'!$D$32</definedName>
    <definedName name="SS_CpIn">'[1]Process Data'!$J$37</definedName>
    <definedName name="SS_CpOut">'[1]Process Data'!$P$37</definedName>
    <definedName name="SS_DensityIn">'[1]Process Data'!$G$37</definedName>
    <definedName name="SS_DensityOut">'[1]Process Data'!$M$37</definedName>
    <definedName name="SS_Flow">'[1]Process Data'!$D$9</definedName>
    <definedName name="SS_Fouling">'[1]Process Data'!$D$14</definedName>
    <definedName name="SS_Name">'[1]Process Data'!$D$8</definedName>
    <definedName name="SS_NozzleIn">[1]Nozzles!$D$42</definedName>
    <definedName name="SS_NozzleOut">[1]Nozzles!$D$49</definedName>
    <definedName name="SS_PAllow">'[1]Process Data'!$D$13</definedName>
    <definedName name="SS_Pin">'[1]Process Data'!$D$12</definedName>
    <definedName name="SS_TCIn">'[1]Process Data'!$K$37</definedName>
    <definedName name="SS_TcOut">'[1]Process Data'!$Q$37</definedName>
    <definedName name="SS_Tin">'[1]Process Data'!$D$10</definedName>
    <definedName name="SS_Tout">'[1]Process Data'!$D$11</definedName>
    <definedName name="SS_ViscosityIn">'[1]Process Data'!$H$37</definedName>
    <definedName name="SS_ViscosityOut">'[1]Process Data'!$N$37</definedName>
    <definedName name="TS_CpIn">'[1]Process Data'!$J$49</definedName>
    <definedName name="TS_CpOut">'[1]Process Data'!$P$49</definedName>
    <definedName name="TS_DensityIn">'[1]Process Data'!$G$49</definedName>
    <definedName name="TS_DensityOut">'[1]Process Data'!$M$49</definedName>
    <definedName name="TS_Flow">'[1]Process Data'!$D$18</definedName>
    <definedName name="TS_Fouling">'[1]Process Data'!$D$23</definedName>
    <definedName name="TS_Name">'[1]Process Data'!$D$17</definedName>
    <definedName name="TS_NozzleIn">[1]Nozzles!$D$26</definedName>
    <definedName name="TS_NozzleOut">[1]Nozzles!$D$33</definedName>
    <definedName name="TS_PAllow">'[1]Process Data'!$D$22</definedName>
    <definedName name="TS_Pin">'[1]Process Data'!$D$21</definedName>
    <definedName name="TS_TcIn">'[1]Process Data'!$K$49</definedName>
    <definedName name="TS_TCOut">'[1]Process Data'!$Q$49</definedName>
    <definedName name="TS_Tin">'[1]Process Data'!$D$19</definedName>
    <definedName name="TS_Tout">'[1]Process Data'!$D$20</definedName>
    <definedName name="TS_ViscosityIn">'[1]Process Data'!$H$49</definedName>
    <definedName name="TS_ViscosityOut">'[1]Process Data'!$N$49</definedName>
    <definedName name="TubeGauge">'[1]Tubes Pressure Drop'!$D$11</definedName>
    <definedName name="TubeLength">'[1]Tubes Pressure Drop'!$D$12</definedName>
    <definedName name="TubeMat">'[1]Overall U'!$D$7</definedName>
    <definedName name="TubeOD">'[1]Tubes Pressure Drop'!$D$10</definedName>
    <definedName name="TubePasses">'[1]Tubes Pressure Drop'!$D$13</definedName>
    <definedName name="TubePitchLayout">'[1]Shell Geometry'!$D$14</definedName>
    <definedName name="TubePitchRatio">'[1]Shell Geometry'!$D$15</definedName>
    <definedName name="Tubes">[1]Conversions!$C$34</definedName>
    <definedName name="TubesPressureDrop">'[1]Tubes Pressure Drop'!$D$51</definedName>
    <definedName name="TubesVelocity">'[1]Tubes Pressure Drop'!$D$40</definedName>
    <definedName name="U_Clean">'[1]Overall U'!$D$25</definedName>
    <definedName name="U_Fouled">'[1]Overall U'!$D$26</definedName>
    <definedName name="units">[1]Conversions!$B$32</definedName>
    <definedName name="units_conv">[1]Conversions!$B$14:$E$31</definedName>
    <definedName name="WeightBundle">[1]Weight!$D$39</definedName>
    <definedName name="WeightEmpty">[1]Weight!$D$41</definedName>
    <definedName name="WeightFull">[1]Weight!$D$49</definedName>
  </definedNames>
  <calcPr calcId="145621"/>
</workbook>
</file>

<file path=xl/calcChain.xml><?xml version="1.0" encoding="utf-8"?>
<calcChain xmlns="http://schemas.openxmlformats.org/spreadsheetml/2006/main">
  <c r="G146" i="1" l="1"/>
  <c r="K146" i="1"/>
  <c r="J146" i="1"/>
  <c r="I146" i="1"/>
  <c r="H146" i="1"/>
  <c r="K134" i="1" l="1"/>
  <c r="J134" i="1"/>
  <c r="I134" i="1"/>
  <c r="H134" i="1"/>
  <c r="G134" i="1"/>
  <c r="G137" i="1" l="1"/>
  <c r="I42" i="1"/>
  <c r="I24" i="1"/>
  <c r="I88" i="1" s="1"/>
  <c r="J24" i="1"/>
  <c r="K24" i="1"/>
  <c r="K100" i="1" s="1"/>
  <c r="K223" i="1" s="1"/>
  <c r="I43" i="1"/>
  <c r="J42" i="1"/>
  <c r="J43" i="1" s="1"/>
  <c r="K42" i="1"/>
  <c r="K43" i="1" s="1"/>
  <c r="K158" i="1" s="1"/>
  <c r="K159" i="1" s="1"/>
  <c r="K160" i="1" s="1"/>
  <c r="I46" i="1"/>
  <c r="J46" i="1"/>
  <c r="K46" i="1"/>
  <c r="K110" i="1" s="1"/>
  <c r="I54" i="1"/>
  <c r="I55" i="1" s="1"/>
  <c r="J54" i="1"/>
  <c r="K54" i="1"/>
  <c r="K55" i="1" s="1"/>
  <c r="J55" i="1"/>
  <c r="J111" i="1" s="1"/>
  <c r="I60" i="1"/>
  <c r="J60" i="1"/>
  <c r="K60" i="1"/>
  <c r="I61" i="1"/>
  <c r="J61" i="1"/>
  <c r="K61" i="1"/>
  <c r="I64" i="1"/>
  <c r="J64" i="1"/>
  <c r="K64" i="1"/>
  <c r="K162" i="1" s="1"/>
  <c r="K234" i="1" s="1"/>
  <c r="K73" i="1" s="1"/>
  <c r="I86" i="1"/>
  <c r="J86" i="1"/>
  <c r="K86" i="1"/>
  <c r="I87" i="1"/>
  <c r="J87" i="1"/>
  <c r="K87" i="1"/>
  <c r="J88" i="1"/>
  <c r="K88" i="1"/>
  <c r="I89" i="1"/>
  <c r="J89" i="1"/>
  <c r="K89" i="1"/>
  <c r="I90" i="1"/>
  <c r="J90" i="1"/>
  <c r="K90" i="1"/>
  <c r="I91" i="1"/>
  <c r="I161" i="1" s="1"/>
  <c r="J91" i="1"/>
  <c r="K91" i="1"/>
  <c r="K232" i="1" s="1"/>
  <c r="I92" i="1"/>
  <c r="J92" i="1"/>
  <c r="K92" i="1"/>
  <c r="I93" i="1"/>
  <c r="J93" i="1"/>
  <c r="K93" i="1"/>
  <c r="I94" i="1"/>
  <c r="J94" i="1"/>
  <c r="K94" i="1"/>
  <c r="I95" i="1"/>
  <c r="J95" i="1"/>
  <c r="K95" i="1"/>
  <c r="I98" i="1"/>
  <c r="J98" i="1"/>
  <c r="K98" i="1"/>
  <c r="I99" i="1"/>
  <c r="J99" i="1"/>
  <c r="K99" i="1"/>
  <c r="K225" i="1" s="1"/>
  <c r="K227" i="1" s="1"/>
  <c r="K228" i="1" s="1"/>
  <c r="K68" i="1" s="1"/>
  <c r="I100" i="1"/>
  <c r="J100" i="1"/>
  <c r="J223" i="1" s="1"/>
  <c r="I101" i="1"/>
  <c r="J101" i="1"/>
  <c r="K101" i="1"/>
  <c r="I102" i="1"/>
  <c r="J102" i="1"/>
  <c r="K102" i="1"/>
  <c r="I103" i="1"/>
  <c r="J103" i="1"/>
  <c r="K103" i="1"/>
  <c r="I104" i="1"/>
  <c r="J104" i="1"/>
  <c r="K104" i="1"/>
  <c r="I105" i="1"/>
  <c r="J105" i="1"/>
  <c r="K105" i="1"/>
  <c r="I106" i="1"/>
  <c r="J106" i="1"/>
  <c r="K106" i="1"/>
  <c r="I107" i="1"/>
  <c r="J107" i="1"/>
  <c r="K107" i="1"/>
  <c r="I110" i="1"/>
  <c r="J110" i="1"/>
  <c r="J123" i="1"/>
  <c r="J124" i="1" s="1"/>
  <c r="I129" i="1"/>
  <c r="I130" i="1" s="1"/>
  <c r="J129" i="1"/>
  <c r="J130" i="1" s="1"/>
  <c r="K129" i="1"/>
  <c r="K130" i="1"/>
  <c r="J140" i="1"/>
  <c r="K161" i="1"/>
  <c r="I162" i="1"/>
  <c r="J162" i="1"/>
  <c r="J234" i="1" s="1"/>
  <c r="J73" i="1" s="1"/>
  <c r="I168" i="1"/>
  <c r="J168" i="1"/>
  <c r="K168" i="1"/>
  <c r="K169" i="1" s="1"/>
  <c r="I176" i="1"/>
  <c r="J176" i="1"/>
  <c r="K176" i="1"/>
  <c r="I196" i="1"/>
  <c r="K196" i="1"/>
  <c r="K222" i="1"/>
  <c r="I223" i="1"/>
  <c r="K226" i="1"/>
  <c r="I234" i="1"/>
  <c r="I73" i="1" s="1"/>
  <c r="J161" i="1" l="1"/>
  <c r="J167" i="1" s="1"/>
  <c r="J226" i="1"/>
  <c r="J112" i="1"/>
  <c r="J113" i="1" s="1"/>
  <c r="J206" i="1" s="1"/>
  <c r="I167" i="1"/>
  <c r="K177" i="1"/>
  <c r="K114" i="1"/>
  <c r="K167" i="1"/>
  <c r="K170" i="1" s="1"/>
  <c r="J196" i="1"/>
  <c r="J114" i="1"/>
  <c r="I114" i="1"/>
  <c r="J222" i="1"/>
  <c r="J224" i="1" s="1"/>
  <c r="K224" i="1"/>
  <c r="J225" i="1"/>
  <c r="J227" i="1" s="1"/>
  <c r="J228" i="1" s="1"/>
  <c r="J68" i="1" s="1"/>
  <c r="J232" i="1"/>
  <c r="J70" i="1" s="1"/>
  <c r="I169" i="1"/>
  <c r="K67" i="1"/>
  <c r="K229" i="1"/>
  <c r="K69" i="1" s="1"/>
  <c r="J125" i="1"/>
  <c r="J126" i="1" s="1"/>
  <c r="J131" i="1"/>
  <c r="J197" i="1"/>
  <c r="J198" i="1" s="1"/>
  <c r="I158" i="1"/>
  <c r="I159" i="1" s="1"/>
  <c r="I160" i="1" s="1"/>
  <c r="I177" i="1"/>
  <c r="K164" i="1"/>
  <c r="K165" i="1"/>
  <c r="I111" i="1"/>
  <c r="I140" i="1"/>
  <c r="I123" i="1"/>
  <c r="I124" i="1" s="1"/>
  <c r="J133" i="1"/>
  <c r="J132" i="1"/>
  <c r="J184" i="1"/>
  <c r="J116" i="1"/>
  <c r="J115" i="1"/>
  <c r="K111" i="1"/>
  <c r="K140" i="1"/>
  <c r="K123" i="1"/>
  <c r="K124" i="1" s="1"/>
  <c r="J158" i="1"/>
  <c r="J159" i="1" s="1"/>
  <c r="J160" i="1" s="1"/>
  <c r="J177" i="1"/>
  <c r="I222" i="1"/>
  <c r="I224" i="1" s="1"/>
  <c r="I226" i="1"/>
  <c r="I232" i="1"/>
  <c r="I225" i="1"/>
  <c r="I227" i="1" s="1"/>
  <c r="K70" i="1"/>
  <c r="H176" i="1"/>
  <c r="G176" i="1"/>
  <c r="H168" i="1"/>
  <c r="H129" i="1"/>
  <c r="H196" i="1" s="1"/>
  <c r="H98" i="1"/>
  <c r="H99" i="1"/>
  <c r="H100" i="1"/>
  <c r="H101" i="1"/>
  <c r="H102" i="1"/>
  <c r="H103" i="1"/>
  <c r="H104" i="1"/>
  <c r="H105" i="1"/>
  <c r="H106" i="1"/>
  <c r="H107" i="1"/>
  <c r="H86" i="1"/>
  <c r="H87" i="1"/>
  <c r="H88" i="1"/>
  <c r="H89" i="1"/>
  <c r="H90" i="1"/>
  <c r="H91" i="1"/>
  <c r="H92" i="1"/>
  <c r="H93" i="1"/>
  <c r="H94" i="1"/>
  <c r="H95" i="1"/>
  <c r="H54" i="1"/>
  <c r="H55" i="1" s="1"/>
  <c r="H140" i="1" s="1"/>
  <c r="H60" i="1"/>
  <c r="H61" i="1"/>
  <c r="H130" i="1" s="1"/>
  <c r="H64" i="1"/>
  <c r="H162" i="1" s="1"/>
  <c r="H234" i="1" s="1"/>
  <c r="H73" i="1" s="1"/>
  <c r="H42" i="1"/>
  <c r="H43" i="1"/>
  <c r="H158" i="1" s="1"/>
  <c r="H46" i="1"/>
  <c r="H110" i="1" s="1"/>
  <c r="H24" i="1"/>
  <c r="J169" i="1" l="1"/>
  <c r="J67" i="1"/>
  <c r="J229" i="1"/>
  <c r="J210" i="1"/>
  <c r="J211" i="1" s="1"/>
  <c r="J183" i="1"/>
  <c r="J149" i="1"/>
  <c r="J185" i="1"/>
  <c r="J186" i="1"/>
  <c r="J117" i="1"/>
  <c r="J119" i="1" s="1"/>
  <c r="J120" i="1" s="1"/>
  <c r="J121" i="1" s="1"/>
  <c r="J118" i="1"/>
  <c r="J152" i="1"/>
  <c r="J153" i="1" s="1"/>
  <c r="J141" i="1"/>
  <c r="H223" i="1"/>
  <c r="K235" i="1"/>
  <c r="K76" i="1" s="1"/>
  <c r="H226" i="1"/>
  <c r="H114" i="1"/>
  <c r="I165" i="1"/>
  <c r="I164" i="1"/>
  <c r="I170" i="1"/>
  <c r="J165" i="1"/>
  <c r="J164" i="1"/>
  <c r="J200" i="1"/>
  <c r="J199" i="1"/>
  <c r="I228" i="1"/>
  <c r="I68" i="1" s="1"/>
  <c r="I70" i="1"/>
  <c r="K197" i="1"/>
  <c r="K198" i="1" s="1"/>
  <c r="K200" i="1" s="1"/>
  <c r="K125" i="1"/>
  <c r="K126" i="1" s="1"/>
  <c r="K131" i="1"/>
  <c r="I125" i="1"/>
  <c r="I126" i="1" s="1"/>
  <c r="I131" i="1"/>
  <c r="I197" i="1"/>
  <c r="I198" i="1" s="1"/>
  <c r="I200" i="1" s="1"/>
  <c r="J235" i="1"/>
  <c r="J76" i="1" s="1"/>
  <c r="J69" i="1"/>
  <c r="K219" i="1"/>
  <c r="K166" i="1"/>
  <c r="K171" i="1" s="1"/>
  <c r="K172" i="1" s="1"/>
  <c r="I67" i="1"/>
  <c r="J170" i="1"/>
  <c r="K199" i="1"/>
  <c r="K112" i="1"/>
  <c r="K113" i="1" s="1"/>
  <c r="I199" i="1"/>
  <c r="I112" i="1"/>
  <c r="I113" i="1" s="1"/>
  <c r="I115" i="1" s="1"/>
  <c r="J192" i="1"/>
  <c r="J193" i="1" s="1"/>
  <c r="H177" i="1"/>
  <c r="H232" i="1"/>
  <c r="H111" i="1"/>
  <c r="H123" i="1"/>
  <c r="H124" i="1" s="1"/>
  <c r="H112" i="1"/>
  <c r="H113" i="1" s="1"/>
  <c r="H184" i="1" s="1"/>
  <c r="H159" i="1"/>
  <c r="H160" i="1" s="1"/>
  <c r="H165" i="1" s="1"/>
  <c r="H225" i="1"/>
  <c r="H227" i="1" s="1"/>
  <c r="H228" i="1" s="1"/>
  <c r="H68" i="1" s="1"/>
  <c r="H161" i="1"/>
  <c r="H222" i="1"/>
  <c r="H70" i="1"/>
  <c r="H164" i="1" l="1"/>
  <c r="J187" i="1"/>
  <c r="J188" i="1" s="1"/>
  <c r="H224" i="1"/>
  <c r="H229" i="1" s="1"/>
  <c r="H117" i="1"/>
  <c r="H183" i="1"/>
  <c r="H185" i="1"/>
  <c r="I229" i="1"/>
  <c r="I69" i="1" s="1"/>
  <c r="K115" i="1"/>
  <c r="K152" i="1"/>
  <c r="K153" i="1" s="1"/>
  <c r="K185" i="1"/>
  <c r="K118" i="1"/>
  <c r="K149" i="1"/>
  <c r="K184" i="1"/>
  <c r="K206" i="1"/>
  <c r="K117" i="1"/>
  <c r="K119" i="1" s="1"/>
  <c r="K183" i="1"/>
  <c r="K116" i="1"/>
  <c r="K141" i="1"/>
  <c r="K186" i="1"/>
  <c r="K210" i="1"/>
  <c r="K211" i="1" s="1"/>
  <c r="I235" i="1"/>
  <c r="I76" i="1" s="1"/>
  <c r="I117" i="1"/>
  <c r="I183" i="1"/>
  <c r="I116" i="1"/>
  <c r="I141" i="1"/>
  <c r="I186" i="1"/>
  <c r="I210" i="1"/>
  <c r="I211" i="1" s="1"/>
  <c r="I152" i="1"/>
  <c r="I153" i="1" s="1"/>
  <c r="I185" i="1"/>
  <c r="I118" i="1"/>
  <c r="I149" i="1"/>
  <c r="I184" i="1"/>
  <c r="I206" i="1"/>
  <c r="J219" i="1"/>
  <c r="J166" i="1"/>
  <c r="J171" i="1" s="1"/>
  <c r="J172" i="1" s="1"/>
  <c r="K132" i="1"/>
  <c r="K133" i="1"/>
  <c r="I166" i="1"/>
  <c r="I171" i="1" s="1"/>
  <c r="I172" i="1" s="1"/>
  <c r="I219" i="1"/>
  <c r="I132" i="1"/>
  <c r="I133" i="1"/>
  <c r="H116" i="1"/>
  <c r="H186" i="1"/>
  <c r="H187" i="1" s="1"/>
  <c r="H149" i="1"/>
  <c r="H125" i="1"/>
  <c r="H126" i="1" s="1"/>
  <c r="H131" i="1"/>
  <c r="H197" i="1"/>
  <c r="H198" i="1" s="1"/>
  <c r="H115" i="1"/>
  <c r="H206" i="1"/>
  <c r="H210" i="1"/>
  <c r="H211" i="1" s="1"/>
  <c r="H118" i="1"/>
  <c r="H152" i="1"/>
  <c r="H153" i="1" s="1"/>
  <c r="H141" i="1"/>
  <c r="H167" i="1"/>
  <c r="H169" i="1"/>
  <c r="H219" i="1"/>
  <c r="H166" i="1"/>
  <c r="H171" i="1" s="1"/>
  <c r="H172" i="1" s="1"/>
  <c r="I187" i="1" l="1"/>
  <c r="H119" i="1"/>
  <c r="H120" i="1" s="1"/>
  <c r="H121" i="1" s="1"/>
  <c r="H69" i="1"/>
  <c r="H235" i="1"/>
  <c r="H67" i="1"/>
  <c r="H188" i="1"/>
  <c r="K187" i="1"/>
  <c r="I119" i="1"/>
  <c r="I120" i="1" s="1"/>
  <c r="I121" i="1" s="1"/>
  <c r="I192" i="1"/>
  <c r="I193" i="1" s="1"/>
  <c r="K192" i="1"/>
  <c r="K193" i="1" s="1"/>
  <c r="I188" i="1"/>
  <c r="K188" i="1"/>
  <c r="K120" i="1"/>
  <c r="K121" i="1" s="1"/>
  <c r="H200" i="1"/>
  <c r="H199" i="1"/>
  <c r="H132" i="1"/>
  <c r="H133" i="1"/>
  <c r="H170" i="1"/>
  <c r="H76" i="1"/>
  <c r="H192" i="1" l="1"/>
  <c r="H193" i="1" s="1"/>
  <c r="G99" i="1" l="1"/>
  <c r="G101" i="1"/>
  <c r="G102" i="1"/>
  <c r="G103" i="1"/>
  <c r="G104" i="1"/>
  <c r="G105" i="1"/>
  <c r="G106" i="1"/>
  <c r="G107" i="1"/>
  <c r="G98" i="1"/>
  <c r="G87" i="1"/>
  <c r="G89" i="1"/>
  <c r="G90" i="1"/>
  <c r="G91" i="1"/>
  <c r="G92" i="1"/>
  <c r="G93" i="1"/>
  <c r="G94" i="1"/>
  <c r="G95" i="1"/>
  <c r="G86" i="1"/>
  <c r="G24" i="1"/>
  <c r="G88" i="1" s="1"/>
  <c r="G100" i="1" l="1"/>
  <c r="G232" i="1"/>
  <c r="G70" i="1" s="1"/>
  <c r="G226" i="1"/>
  <c r="G42" i="1" l="1"/>
  <c r="G43" i="1" s="1"/>
  <c r="G225" i="1" l="1"/>
  <c r="G227" i="1" s="1"/>
  <c r="G228" i="1" s="1"/>
  <c r="G68" i="1" s="1"/>
  <c r="G223" i="1"/>
  <c r="G222" i="1"/>
  <c r="G224" i="1" l="1"/>
  <c r="G67" i="1" s="1"/>
  <c r="G168" i="1"/>
  <c r="G161" i="1"/>
  <c r="G229" i="1" l="1"/>
  <c r="G69" i="1" s="1"/>
  <c r="G169" i="1"/>
  <c r="G114" i="1"/>
  <c r="G64" i="1" l="1"/>
  <c r="G162" i="1" s="1"/>
  <c r="G234" i="1" l="1"/>
  <c r="G167" i="1"/>
  <c r="G235" i="1" l="1"/>
  <c r="G76" i="1" s="1"/>
  <c r="G73" i="1"/>
  <c r="G60" i="1"/>
  <c r="G54" i="1"/>
  <c r="G55" i="1" s="1"/>
  <c r="G111" i="1" s="1"/>
  <c r="G46" i="1"/>
  <c r="G110" i="1" s="1"/>
  <c r="G112" i="1" l="1"/>
  <c r="G113" i="1" s="1"/>
  <c r="G210" i="1" l="1"/>
  <c r="G115" i="1"/>
  <c r="G206" i="1"/>
  <c r="G211" i="1"/>
  <c r="G185" i="1"/>
  <c r="G184" i="1"/>
  <c r="G183" i="1"/>
  <c r="G186" i="1"/>
  <c r="G187" i="1" l="1"/>
  <c r="G188" i="1" s="1"/>
  <c r="G123" i="1"/>
  <c r="G124" i="1" s="1"/>
  <c r="G140" i="1"/>
  <c r="G61" i="1"/>
  <c r="G129" i="1"/>
  <c r="G196" i="1" s="1"/>
  <c r="G130" i="1" l="1"/>
  <c r="G125" i="1"/>
  <c r="G126" i="1" s="1"/>
  <c r="G197" i="1"/>
  <c r="G198" i="1" s="1"/>
  <c r="G131" i="1"/>
  <c r="G133" i="1" l="1"/>
  <c r="G192" i="1" s="1"/>
  <c r="G200" i="1"/>
  <c r="G199" i="1"/>
  <c r="G132" i="1"/>
  <c r="G193" i="1" l="1"/>
  <c r="M246" i="1"/>
  <c r="L246" i="1"/>
  <c r="L245" i="1"/>
  <c r="I137" i="1" l="1"/>
  <c r="K137" i="1"/>
  <c r="J137" i="1"/>
  <c r="G145" i="1"/>
  <c r="G202" i="1" s="1"/>
  <c r="H137" i="1"/>
  <c r="G138" i="1"/>
  <c r="J138" i="1" l="1"/>
  <c r="J145" i="1"/>
  <c r="K145" i="1"/>
  <c r="K138" i="1"/>
  <c r="I138" i="1"/>
  <c r="I145" i="1"/>
  <c r="H145" i="1"/>
  <c r="H138" i="1"/>
  <c r="G139" i="1"/>
  <c r="G207" i="1" s="1"/>
  <c r="G189" i="1"/>
  <c r="G147" i="1"/>
  <c r="G148" i="1" s="1"/>
  <c r="G201" i="1"/>
  <c r="G203" i="1" s="1"/>
  <c r="G215" i="1" s="1"/>
  <c r="J139" i="1" l="1"/>
  <c r="J189" i="1"/>
  <c r="K139" i="1"/>
  <c r="K189" i="1"/>
  <c r="I139" i="1"/>
  <c r="I189" i="1"/>
  <c r="K147" i="1"/>
  <c r="K148" i="1" s="1"/>
  <c r="K201" i="1"/>
  <c r="K203" i="1" s="1"/>
  <c r="K215" i="1" s="1"/>
  <c r="K202" i="1"/>
  <c r="I147" i="1"/>
  <c r="I148" i="1" s="1"/>
  <c r="I201" i="1"/>
  <c r="I203" i="1" s="1"/>
  <c r="I215" i="1" s="1"/>
  <c r="I202" i="1"/>
  <c r="J147" i="1"/>
  <c r="J148" i="1" s="1"/>
  <c r="J202" i="1"/>
  <c r="J201" i="1"/>
  <c r="J203" i="1" s="1"/>
  <c r="J215" i="1" s="1"/>
  <c r="H139" i="1"/>
  <c r="H189" i="1"/>
  <c r="H147" i="1"/>
  <c r="H148" i="1" s="1"/>
  <c r="H201" i="1"/>
  <c r="H203" i="1" s="1"/>
  <c r="H215" i="1" s="1"/>
  <c r="H202" i="1"/>
  <c r="G214" i="1"/>
  <c r="G216" i="1"/>
  <c r="G158" i="1"/>
  <c r="G159" i="1" s="1"/>
  <c r="G160" i="1" s="1"/>
  <c r="G177" i="1"/>
  <c r="G152" i="1"/>
  <c r="G153" i="1" s="1"/>
  <c r="G141" i="1"/>
  <c r="G142" i="1" s="1"/>
  <c r="G149" i="1"/>
  <c r="G118" i="1"/>
  <c r="G117" i="1"/>
  <c r="G116" i="1"/>
  <c r="I214" i="1" l="1"/>
  <c r="K214" i="1"/>
  <c r="K142" i="1"/>
  <c r="K155" i="1" s="1"/>
  <c r="K207" i="1"/>
  <c r="K216" i="1" s="1"/>
  <c r="I207" i="1"/>
  <c r="I216" i="1" s="1"/>
  <c r="I142" i="1"/>
  <c r="I155" i="1" s="1"/>
  <c r="J207" i="1"/>
  <c r="J214" i="1" s="1"/>
  <c r="J142" i="1"/>
  <c r="J155" i="1" s="1"/>
  <c r="H142" i="1"/>
  <c r="H155" i="1" s="1"/>
  <c r="H207" i="1"/>
  <c r="H214" i="1" s="1"/>
  <c r="G165" i="1"/>
  <c r="G164" i="1"/>
  <c r="G170" i="1"/>
  <c r="G217" i="1"/>
  <c r="G119" i="1"/>
  <c r="G120" i="1" s="1"/>
  <c r="G121" i="1" s="1"/>
  <c r="G155" i="1" s="1"/>
  <c r="J178" i="1" l="1"/>
  <c r="J175" i="1"/>
  <c r="J71" i="1" s="1"/>
  <c r="J216" i="1"/>
  <c r="J217" i="1" s="1"/>
  <c r="K178" i="1"/>
  <c r="K175" i="1"/>
  <c r="K71" i="1" s="1"/>
  <c r="I178" i="1"/>
  <c r="I175" i="1"/>
  <c r="I71" i="1" s="1"/>
  <c r="K217" i="1"/>
  <c r="I217" i="1"/>
  <c r="H178" i="1"/>
  <c r="H175" i="1"/>
  <c r="H71" i="1" s="1"/>
  <c r="H216" i="1"/>
  <c r="H217" i="1" s="1"/>
  <c r="G219" i="1"/>
  <c r="G166" i="1"/>
  <c r="G171" i="1" s="1"/>
  <c r="G172" i="1" s="1"/>
  <c r="G178" i="1" s="1"/>
  <c r="I74" i="1" l="1"/>
  <c r="I179" i="1"/>
  <c r="I236" i="1"/>
  <c r="I77" i="1" s="1"/>
  <c r="J236" i="1"/>
  <c r="J77" i="1" s="1"/>
  <c r="J179" i="1"/>
  <c r="J74" i="1"/>
  <c r="K236" i="1"/>
  <c r="K77" i="1" s="1"/>
  <c r="K74" i="1"/>
  <c r="K179" i="1"/>
  <c r="H236" i="1"/>
  <c r="H77" i="1" s="1"/>
  <c r="H179" i="1"/>
  <c r="H74" i="1"/>
  <c r="G236" i="1"/>
  <c r="G77" i="1" s="1"/>
  <c r="G74" i="1"/>
  <c r="G175" i="1"/>
  <c r="G71" i="1" s="1"/>
  <c r="G179" i="1"/>
  <c r="G75" i="1" s="1"/>
  <c r="I237" i="1" l="1"/>
  <c r="I78" i="1" s="1"/>
  <c r="I75" i="1"/>
  <c r="I233" i="1"/>
  <c r="I72" i="1" s="1"/>
  <c r="K233" i="1"/>
  <c r="K72" i="1" s="1"/>
  <c r="K75" i="1"/>
  <c r="K237" i="1"/>
  <c r="K78" i="1" s="1"/>
  <c r="J75" i="1"/>
  <c r="J237" i="1"/>
  <c r="J78" i="1" s="1"/>
  <c r="J233" i="1"/>
  <c r="J72" i="1" s="1"/>
  <c r="H75" i="1"/>
  <c r="H233" i="1"/>
  <c r="H72" i="1" s="1"/>
  <c r="H237" i="1"/>
  <c r="H78" i="1" s="1"/>
  <c r="G237" i="1"/>
  <c r="G78" i="1" s="1"/>
  <c r="G233" i="1"/>
  <c r="G72" i="1" s="1"/>
</calcChain>
</file>

<file path=xl/sharedStrings.xml><?xml version="1.0" encoding="utf-8"?>
<sst xmlns="http://schemas.openxmlformats.org/spreadsheetml/2006/main" count="464" uniqueCount="305">
  <si>
    <t>Number of Tubes</t>
  </si>
  <si>
    <t>Tube Side Data</t>
  </si>
  <si>
    <t>Tube OD</t>
  </si>
  <si>
    <t>(mm)</t>
  </si>
  <si>
    <t>Tube Outside Diameter</t>
  </si>
  <si>
    <t>mm</t>
  </si>
  <si>
    <t>Tube Thickness</t>
  </si>
  <si>
    <t>BWG</t>
  </si>
  <si>
    <t>Thickness</t>
  </si>
  <si>
    <t>inch</t>
  </si>
  <si>
    <t>Tube Inside Diameter</t>
  </si>
  <si>
    <t>Tube Pitch Layout</t>
  </si>
  <si>
    <t>Tube Pitch</t>
  </si>
  <si>
    <t>Tube Pitch Ratio</t>
  </si>
  <si>
    <t>thick</t>
  </si>
  <si>
    <t>Tube_Pass</t>
  </si>
  <si>
    <t>Shell Side Data</t>
  </si>
  <si>
    <t>Number of Passes</t>
  </si>
  <si>
    <t>Shell_Pass</t>
  </si>
  <si>
    <t>Tube Length</t>
  </si>
  <si>
    <t>Tube_L</t>
  </si>
  <si>
    <t>m</t>
  </si>
  <si>
    <t>Shell Inside Diameter</t>
  </si>
  <si>
    <t>Ds</t>
  </si>
  <si>
    <t>Shell Outer Tube Limit</t>
  </si>
  <si>
    <r>
      <t>D</t>
    </r>
    <r>
      <rPr>
        <vertAlign val="subscript"/>
        <sz val="12"/>
        <color theme="1"/>
        <rFont val="Calibri"/>
        <family val="2"/>
        <scheme val="minor"/>
      </rPr>
      <t>OTL</t>
    </r>
  </si>
  <si>
    <t>Inlet Baffle Spacing</t>
  </si>
  <si>
    <t>Outlet Baffle Spacing</t>
  </si>
  <si>
    <t>Central Baffle Spacing</t>
  </si>
  <si>
    <r>
      <t>LB</t>
    </r>
    <r>
      <rPr>
        <vertAlign val="subscript"/>
        <sz val="12"/>
        <color theme="1"/>
        <rFont val="Calibri"/>
        <family val="2"/>
        <scheme val="minor"/>
      </rPr>
      <t>C</t>
    </r>
  </si>
  <si>
    <r>
      <t>LB</t>
    </r>
    <r>
      <rPr>
        <vertAlign val="subscript"/>
        <sz val="12"/>
        <color theme="1"/>
        <rFont val="Calibri"/>
        <family val="2"/>
        <scheme val="minor"/>
      </rPr>
      <t>IN</t>
    </r>
  </si>
  <si>
    <r>
      <t>LB</t>
    </r>
    <r>
      <rPr>
        <vertAlign val="subscript"/>
        <sz val="12"/>
        <color theme="1"/>
        <rFont val="Calibri"/>
        <family val="2"/>
        <scheme val="minor"/>
      </rPr>
      <t>OUT</t>
    </r>
  </si>
  <si>
    <t>Bc</t>
  </si>
  <si>
    <t>Segemental Baffle Cut</t>
  </si>
  <si>
    <t>%</t>
  </si>
  <si>
    <t>Height of Baffle Cut</t>
  </si>
  <si>
    <t>Lc</t>
  </si>
  <si>
    <t>Diametral Shell-Baffle Clearance</t>
  </si>
  <si>
    <r>
      <t>D</t>
    </r>
    <r>
      <rPr>
        <vertAlign val="subscript"/>
        <sz val="12"/>
        <color theme="1"/>
        <rFont val="Calibri"/>
        <family val="2"/>
        <scheme val="minor"/>
      </rPr>
      <t>SB</t>
    </r>
  </si>
  <si>
    <t>Number of Sealing Strips</t>
  </si>
  <si>
    <t>Nss</t>
  </si>
  <si>
    <t>Tube Sheet Thickness</t>
  </si>
  <si>
    <r>
      <t>L</t>
    </r>
    <r>
      <rPr>
        <vertAlign val="subscript"/>
        <sz val="12"/>
        <color theme="1"/>
        <rFont val="Calibri"/>
        <family val="2"/>
        <scheme val="minor"/>
      </rPr>
      <t>S</t>
    </r>
  </si>
  <si>
    <t>Tube Side</t>
  </si>
  <si>
    <t>Flow</t>
  </si>
  <si>
    <t>Kg/h</t>
  </si>
  <si>
    <t>Inlet Temperature</t>
  </si>
  <si>
    <t>t_inlet</t>
  </si>
  <si>
    <t>°C</t>
  </si>
  <si>
    <t>t_outlet</t>
  </si>
  <si>
    <t>Outlet Temperature</t>
  </si>
  <si>
    <t>Density</t>
  </si>
  <si>
    <t>Viscosity</t>
  </si>
  <si>
    <t>cP</t>
  </si>
  <si>
    <t>Thermal Conductivity</t>
  </si>
  <si>
    <t>Specific Heat</t>
  </si>
  <si>
    <t>Viscosity at Wall temperature</t>
  </si>
  <si>
    <t>Allowable Pressure Drop</t>
  </si>
  <si>
    <t>bar</t>
  </si>
  <si>
    <t>Fouling Factor</t>
  </si>
  <si>
    <t>Shell Side</t>
  </si>
  <si>
    <t>T_inlet</t>
  </si>
  <si>
    <t>T_outlet</t>
  </si>
  <si>
    <t>Mechanical Data</t>
  </si>
  <si>
    <t>Shell Side Heat Transfer Coefficient</t>
  </si>
  <si>
    <t>Parallel</t>
  </si>
  <si>
    <t>Normal</t>
  </si>
  <si>
    <t>Tube Arrangement</t>
  </si>
  <si>
    <t>Effective Pitch</t>
  </si>
  <si>
    <r>
      <t>P</t>
    </r>
    <r>
      <rPr>
        <vertAlign val="subscript"/>
        <sz val="12"/>
        <color theme="1"/>
        <rFont val="Calibri"/>
        <family val="2"/>
        <scheme val="minor"/>
      </rPr>
      <t>T,eff</t>
    </r>
  </si>
  <si>
    <t>Sm</t>
  </si>
  <si>
    <t>Cross Flow area</t>
  </si>
  <si>
    <t>Reynold's Number</t>
  </si>
  <si>
    <r>
      <rPr>
        <sz val="11"/>
        <color theme="1"/>
        <rFont val="Calibri"/>
        <family val="2"/>
      </rPr>
      <t>Δ</t>
    </r>
    <r>
      <rPr>
        <vertAlign val="subscript"/>
        <sz val="12"/>
        <color theme="1"/>
        <rFont val="Calibri"/>
        <family val="2"/>
      </rPr>
      <t>B</t>
    </r>
  </si>
  <si>
    <t>Bundle-Shell Diameteral Clear.</t>
  </si>
  <si>
    <t>Mass Velocity</t>
  </si>
  <si>
    <r>
      <t>G</t>
    </r>
    <r>
      <rPr>
        <vertAlign val="subscript"/>
        <sz val="12"/>
        <color theme="1"/>
        <rFont val="Calibri"/>
        <family val="2"/>
        <scheme val="minor"/>
      </rPr>
      <t>S</t>
    </r>
  </si>
  <si>
    <r>
      <t>Re</t>
    </r>
    <r>
      <rPr>
        <vertAlign val="subscript"/>
        <sz val="12"/>
        <color theme="1"/>
        <rFont val="Calibri"/>
        <family val="2"/>
        <scheme val="minor"/>
      </rPr>
      <t>S</t>
    </r>
  </si>
  <si>
    <t>Prandtl Number</t>
  </si>
  <si>
    <r>
      <t>Pr</t>
    </r>
    <r>
      <rPr>
        <vertAlign val="subscript"/>
        <sz val="12"/>
        <color theme="1"/>
        <rFont val="Calibri"/>
        <family val="2"/>
        <scheme val="minor"/>
      </rPr>
      <t>S</t>
    </r>
  </si>
  <si>
    <t>Correlation Coefficients for j-I and f-I</t>
  </si>
  <si>
    <t>Pitch Layout</t>
  </si>
  <si>
    <t>Nre</t>
  </si>
  <si>
    <t>a1</t>
  </si>
  <si>
    <t>a2</t>
  </si>
  <si>
    <t>a3</t>
  </si>
  <si>
    <t>a4</t>
  </si>
  <si>
    <t>b1</t>
  </si>
  <si>
    <t>b2</t>
  </si>
  <si>
    <t>b3</t>
  </si>
  <si>
    <t>b4</t>
  </si>
  <si>
    <t>j-Ideal Factor Coefficients</t>
  </si>
  <si>
    <t>a</t>
  </si>
  <si>
    <t>j-ideal Factor</t>
  </si>
  <si>
    <t>j</t>
  </si>
  <si>
    <t>Ideal heat transfer coefficient</t>
  </si>
  <si>
    <r>
      <t>h</t>
    </r>
    <r>
      <rPr>
        <vertAlign val="subscript"/>
        <sz val="12"/>
        <color theme="1"/>
        <rFont val="Calibri"/>
        <family val="2"/>
        <scheme val="minor"/>
      </rPr>
      <t>Ideal</t>
    </r>
  </si>
  <si>
    <t>Intermediate</t>
  </si>
  <si>
    <t>Fraction of tubes in crossflow</t>
  </si>
  <si>
    <t>Fc</t>
  </si>
  <si>
    <t>Baffle Cut Correction Factor</t>
  </si>
  <si>
    <t>Jc</t>
  </si>
  <si>
    <t>Fw</t>
  </si>
  <si>
    <r>
      <rPr>
        <sz val="11"/>
        <color theme="1"/>
        <rFont val="Calibri"/>
        <family val="2"/>
      </rPr>
      <t>θ</t>
    </r>
    <r>
      <rPr>
        <vertAlign val="subscript"/>
        <sz val="12"/>
        <color theme="1"/>
        <rFont val="Calibri"/>
        <family val="2"/>
      </rPr>
      <t>CTL</t>
    </r>
  </si>
  <si>
    <t>Correction factor for Baffle Leakage</t>
  </si>
  <si>
    <t>Baffle window angle</t>
  </si>
  <si>
    <r>
      <t>θ</t>
    </r>
    <r>
      <rPr>
        <vertAlign val="subscript"/>
        <sz val="12"/>
        <color theme="1"/>
        <rFont val="Calibri"/>
        <family val="2"/>
      </rPr>
      <t>DS</t>
    </r>
  </si>
  <si>
    <t>Shell to baffle leakage area</t>
  </si>
  <si>
    <r>
      <t>S</t>
    </r>
    <r>
      <rPr>
        <vertAlign val="subscript"/>
        <sz val="12"/>
        <color theme="1"/>
        <rFont val="Calibri"/>
        <family val="2"/>
      </rPr>
      <t>SB</t>
    </r>
  </si>
  <si>
    <t>Diametral Tube-Baffle Clearance</t>
  </si>
  <si>
    <r>
      <t>L</t>
    </r>
    <r>
      <rPr>
        <vertAlign val="subscript"/>
        <sz val="12"/>
        <color theme="1"/>
        <rFont val="Calibri"/>
        <family val="2"/>
        <scheme val="minor"/>
      </rPr>
      <t>TB</t>
    </r>
  </si>
  <si>
    <t>Tube to baffle leakage area</t>
  </si>
  <si>
    <r>
      <t>S</t>
    </r>
    <r>
      <rPr>
        <vertAlign val="subscript"/>
        <sz val="12"/>
        <color theme="1"/>
        <rFont val="Calibri"/>
        <family val="2"/>
      </rPr>
      <t>TB</t>
    </r>
  </si>
  <si>
    <t>do</t>
  </si>
  <si>
    <t>Nt</t>
  </si>
  <si>
    <t>di</t>
  </si>
  <si>
    <t>Ratio of leakage area to cross flow</t>
  </si>
  <si>
    <r>
      <t>r</t>
    </r>
    <r>
      <rPr>
        <vertAlign val="subscript"/>
        <sz val="12"/>
        <color theme="1"/>
        <rFont val="Calibri"/>
        <family val="2"/>
      </rPr>
      <t>L</t>
    </r>
  </si>
  <si>
    <t>Ratio of shell-baffle to total area</t>
  </si>
  <si>
    <r>
      <t>r</t>
    </r>
    <r>
      <rPr>
        <vertAlign val="subscript"/>
        <sz val="12"/>
        <color theme="1"/>
        <rFont val="Calibri"/>
        <family val="2"/>
      </rPr>
      <t>S</t>
    </r>
  </si>
  <si>
    <t>Baffle leakage correction Factor</t>
  </si>
  <si>
    <r>
      <t>J</t>
    </r>
    <r>
      <rPr>
        <vertAlign val="subscript"/>
        <sz val="12"/>
        <color theme="1"/>
        <rFont val="Calibri"/>
        <family val="2"/>
      </rPr>
      <t>L</t>
    </r>
  </si>
  <si>
    <t>Correction factor for Bundle Bypass</t>
  </si>
  <si>
    <r>
      <t>P</t>
    </r>
    <r>
      <rPr>
        <vertAlign val="subscript"/>
        <sz val="11"/>
        <color theme="1"/>
        <rFont val="Calibri"/>
        <family val="2"/>
        <scheme val="minor"/>
      </rPr>
      <t>P</t>
    </r>
  </si>
  <si>
    <t>Number of tube rows between baffle</t>
  </si>
  <si>
    <r>
      <t>N</t>
    </r>
    <r>
      <rPr>
        <vertAlign val="subscript"/>
        <sz val="12"/>
        <color theme="1"/>
        <rFont val="Calibri"/>
        <family val="2"/>
        <scheme val="minor"/>
      </rPr>
      <t>TCC</t>
    </r>
  </si>
  <si>
    <t>Tube row distance in flow direction</t>
  </si>
  <si>
    <t>Ratio of sealing strips to tube rows</t>
  </si>
  <si>
    <r>
      <t>r</t>
    </r>
    <r>
      <rPr>
        <vertAlign val="subscript"/>
        <sz val="12"/>
        <color theme="1"/>
        <rFont val="Calibri"/>
        <family val="2"/>
        <scheme val="minor"/>
      </rPr>
      <t>SS</t>
    </r>
  </si>
  <si>
    <t>Bundle bypass flow area</t>
  </si>
  <si>
    <r>
      <t>S</t>
    </r>
    <r>
      <rPr>
        <vertAlign val="subscript"/>
        <sz val="12"/>
        <color theme="1"/>
        <rFont val="Calibri"/>
        <family val="2"/>
        <scheme val="minor"/>
      </rPr>
      <t>B</t>
    </r>
  </si>
  <si>
    <t>Correlation Constant</t>
  </si>
  <si>
    <r>
      <t>C</t>
    </r>
    <r>
      <rPr>
        <vertAlign val="subscript"/>
        <sz val="12"/>
        <color theme="1"/>
        <rFont val="Calibri"/>
        <family val="2"/>
        <scheme val="minor"/>
      </rPr>
      <t>J</t>
    </r>
  </si>
  <si>
    <t>Bundle bypass correction factor</t>
  </si>
  <si>
    <r>
      <t>J</t>
    </r>
    <r>
      <rPr>
        <vertAlign val="subscript"/>
        <sz val="12"/>
        <color theme="1"/>
        <rFont val="Calibri"/>
        <family val="2"/>
      </rPr>
      <t>B</t>
    </r>
  </si>
  <si>
    <t>Correction factor for adverse temperature gradient</t>
  </si>
  <si>
    <t>Number of tube rows crosses</t>
  </si>
  <si>
    <r>
      <t>N</t>
    </r>
    <r>
      <rPr>
        <vertAlign val="subscript"/>
        <sz val="12"/>
        <color theme="1"/>
        <rFont val="Calibri"/>
        <family val="2"/>
        <scheme val="minor"/>
      </rPr>
      <t>TCW</t>
    </r>
  </si>
  <si>
    <t>Number of Baffles</t>
  </si>
  <si>
    <r>
      <t>N</t>
    </r>
    <r>
      <rPr>
        <vertAlign val="subscript"/>
        <sz val="12"/>
        <color theme="1"/>
        <rFont val="Calibri"/>
        <family val="2"/>
        <scheme val="minor"/>
      </rPr>
      <t>B</t>
    </r>
  </si>
  <si>
    <t>Tube rows crossed in entire exchanger</t>
  </si>
  <si>
    <r>
      <t>N</t>
    </r>
    <r>
      <rPr>
        <vertAlign val="subscript"/>
        <sz val="12"/>
        <color theme="1"/>
        <rFont val="Calibri"/>
        <family val="2"/>
        <scheme val="minor"/>
      </rPr>
      <t>C</t>
    </r>
  </si>
  <si>
    <t>Correction factor for Laminar Flow</t>
  </si>
  <si>
    <r>
      <t>J</t>
    </r>
    <r>
      <rPr>
        <vertAlign val="subscript"/>
        <sz val="12"/>
        <color theme="1"/>
        <rFont val="Calibri"/>
        <family val="2"/>
        <scheme val="minor"/>
      </rPr>
      <t>RL</t>
    </r>
  </si>
  <si>
    <t>Correction factor</t>
  </si>
  <si>
    <r>
      <t>J</t>
    </r>
    <r>
      <rPr>
        <vertAlign val="subscript"/>
        <sz val="12"/>
        <color theme="1"/>
        <rFont val="Calibri"/>
        <family val="2"/>
        <scheme val="minor"/>
      </rPr>
      <t>R</t>
    </r>
  </si>
  <si>
    <t>Correction factor for unequal baffle spacing</t>
  </si>
  <si>
    <t>n1</t>
  </si>
  <si>
    <t>Factor used for equation</t>
  </si>
  <si>
    <r>
      <t>J</t>
    </r>
    <r>
      <rPr>
        <vertAlign val="subscript"/>
        <sz val="12"/>
        <color theme="1"/>
        <rFont val="Calibri"/>
        <family val="2"/>
        <scheme val="minor"/>
      </rPr>
      <t>S</t>
    </r>
  </si>
  <si>
    <t>Shell Side heat transfer coefficient</t>
  </si>
  <si>
    <r>
      <t>h</t>
    </r>
    <r>
      <rPr>
        <vertAlign val="subscript"/>
        <sz val="12"/>
        <color theme="1"/>
        <rFont val="Calibri"/>
        <family val="2"/>
        <scheme val="minor"/>
      </rPr>
      <t>S</t>
    </r>
  </si>
  <si>
    <t>Tube Side Heat Transfer Coefficient</t>
  </si>
  <si>
    <r>
      <t>a</t>
    </r>
    <r>
      <rPr>
        <vertAlign val="subscript"/>
        <sz val="12"/>
        <color theme="1"/>
        <rFont val="Calibri"/>
        <family val="2"/>
        <scheme val="minor"/>
      </rPr>
      <t>Tube</t>
    </r>
  </si>
  <si>
    <t>Velocity through a tube</t>
  </si>
  <si>
    <t>v</t>
  </si>
  <si>
    <t>m/s</t>
  </si>
  <si>
    <r>
      <t>Re</t>
    </r>
    <r>
      <rPr>
        <vertAlign val="subscript"/>
        <sz val="12"/>
        <color theme="1"/>
        <rFont val="Calibri"/>
        <family val="2"/>
        <scheme val="minor"/>
      </rPr>
      <t>T</t>
    </r>
  </si>
  <si>
    <t xml:space="preserve">Flow area </t>
  </si>
  <si>
    <t>Shell Side Pressure Drop</t>
  </si>
  <si>
    <t>Ideal Tube Band friction factor</t>
  </si>
  <si>
    <t>b</t>
  </si>
  <si>
    <t>f</t>
  </si>
  <si>
    <t>f-ideal Factor</t>
  </si>
  <si>
    <t>f-Ideal Factor Coefficients</t>
  </si>
  <si>
    <r>
      <rPr>
        <sz val="11"/>
        <color theme="1"/>
        <rFont val="Calibri"/>
        <family val="2"/>
      </rPr>
      <t>ΔP</t>
    </r>
    <r>
      <rPr>
        <vertAlign val="subscript"/>
        <sz val="12"/>
        <color theme="1"/>
        <rFont val="Calibri"/>
        <family val="2"/>
      </rPr>
      <t>ideal</t>
    </r>
  </si>
  <si>
    <t>Factor</t>
  </si>
  <si>
    <t>p</t>
  </si>
  <si>
    <r>
      <t>R</t>
    </r>
    <r>
      <rPr>
        <vertAlign val="subscript"/>
        <sz val="12"/>
        <color theme="1"/>
        <rFont val="Calibri"/>
        <family val="2"/>
        <scheme val="minor"/>
      </rPr>
      <t>L</t>
    </r>
  </si>
  <si>
    <t>Pressure drop for an ideal window section</t>
  </si>
  <si>
    <t>Ideal tube bank pressure drop</t>
  </si>
  <si>
    <r>
      <t>S</t>
    </r>
    <r>
      <rPr>
        <vertAlign val="subscript"/>
        <sz val="12"/>
        <color theme="1"/>
        <rFont val="Calibri"/>
        <family val="2"/>
        <scheme val="minor"/>
      </rPr>
      <t>WG</t>
    </r>
  </si>
  <si>
    <t>Window area occupied with tubes</t>
  </si>
  <si>
    <r>
      <t>S</t>
    </r>
    <r>
      <rPr>
        <vertAlign val="subscript"/>
        <sz val="12"/>
        <color theme="1"/>
        <rFont val="Calibri"/>
        <family val="2"/>
        <scheme val="minor"/>
      </rPr>
      <t>WT</t>
    </r>
  </si>
  <si>
    <t>Gross window area</t>
  </si>
  <si>
    <t>Net Cross flow area</t>
  </si>
  <si>
    <r>
      <t>S</t>
    </r>
    <r>
      <rPr>
        <vertAlign val="subscript"/>
        <sz val="12"/>
        <color theme="1"/>
        <rFont val="Calibri"/>
        <family val="2"/>
        <scheme val="minor"/>
      </rPr>
      <t>W</t>
    </r>
  </si>
  <si>
    <r>
      <t>G</t>
    </r>
    <r>
      <rPr>
        <vertAlign val="subscript"/>
        <sz val="12"/>
        <color theme="1"/>
        <rFont val="Calibri"/>
        <family val="2"/>
        <scheme val="minor"/>
      </rPr>
      <t>W</t>
    </r>
  </si>
  <si>
    <t>Mass velocity baffle window</t>
  </si>
  <si>
    <t>Hydraulic diameter baffle window</t>
  </si>
  <si>
    <t>Dw</t>
  </si>
  <si>
    <t>For Re &gt;= 100</t>
  </si>
  <si>
    <t>For Re &lt; 100</t>
  </si>
  <si>
    <r>
      <t>ΔP</t>
    </r>
    <r>
      <rPr>
        <vertAlign val="subscript"/>
        <sz val="12"/>
        <color theme="1"/>
        <rFont val="Calibri"/>
        <family val="2"/>
      </rPr>
      <t>W, Turbulent</t>
    </r>
  </si>
  <si>
    <r>
      <t>ΔP</t>
    </r>
    <r>
      <rPr>
        <vertAlign val="subscript"/>
        <sz val="12"/>
        <color theme="1"/>
        <rFont val="Calibri"/>
        <family val="2"/>
      </rPr>
      <t>W, Laminar</t>
    </r>
  </si>
  <si>
    <r>
      <t>ΔP</t>
    </r>
    <r>
      <rPr>
        <vertAlign val="subscript"/>
        <sz val="12"/>
        <color theme="1"/>
        <rFont val="Calibri"/>
        <family val="2"/>
      </rPr>
      <t>W</t>
    </r>
  </si>
  <si>
    <t>Correction factor for Bundle Bypass effect</t>
  </si>
  <si>
    <t>Constant</t>
  </si>
  <si>
    <r>
      <t>C</t>
    </r>
    <r>
      <rPr>
        <vertAlign val="subscript"/>
        <sz val="12"/>
        <color theme="1"/>
        <rFont val="Calibri"/>
        <family val="2"/>
        <scheme val="minor"/>
      </rPr>
      <t>R</t>
    </r>
  </si>
  <si>
    <r>
      <t>R</t>
    </r>
    <r>
      <rPr>
        <vertAlign val="subscript"/>
        <sz val="12"/>
        <color theme="1"/>
        <rFont val="Calibri"/>
        <family val="2"/>
        <scheme val="minor"/>
      </rPr>
      <t>B</t>
    </r>
  </si>
  <si>
    <t>Correction for unequal baffle spacing inlet/ outlet</t>
  </si>
  <si>
    <t>Slope of friction factor curve</t>
  </si>
  <si>
    <t>n</t>
  </si>
  <si>
    <r>
      <t>R</t>
    </r>
    <r>
      <rPr>
        <vertAlign val="subscript"/>
        <sz val="12"/>
        <color theme="1"/>
        <rFont val="Calibri"/>
        <family val="2"/>
        <scheme val="minor"/>
      </rPr>
      <t>S</t>
    </r>
  </si>
  <si>
    <t>Shell Side Pressure Drop (Excluding nozzles)</t>
  </si>
  <si>
    <r>
      <t>ΔP</t>
    </r>
    <r>
      <rPr>
        <vertAlign val="subscript"/>
        <sz val="12"/>
        <color theme="1"/>
        <rFont val="Calibri"/>
        <family val="2"/>
      </rPr>
      <t>C</t>
    </r>
  </si>
  <si>
    <t>Pressure Drop in Central Baffle Spaces</t>
  </si>
  <si>
    <t>Pressure Drop in Baffle Windows</t>
  </si>
  <si>
    <t>Pressure Drop in Entrance/ Exit Baffles</t>
  </si>
  <si>
    <r>
      <t>ΔP</t>
    </r>
    <r>
      <rPr>
        <vertAlign val="subscript"/>
        <sz val="12"/>
        <color theme="1"/>
        <rFont val="Calibri"/>
        <family val="2"/>
      </rPr>
      <t>E</t>
    </r>
  </si>
  <si>
    <t>Total Pressure Drop</t>
  </si>
  <si>
    <r>
      <t>ΔP</t>
    </r>
    <r>
      <rPr>
        <vertAlign val="subscript"/>
        <sz val="12"/>
        <color theme="1"/>
        <rFont val="Calibri"/>
        <family val="2"/>
      </rPr>
      <t>S,Total</t>
    </r>
  </si>
  <si>
    <r>
      <t>Pr</t>
    </r>
    <r>
      <rPr>
        <vertAlign val="subscript"/>
        <sz val="12"/>
        <color theme="1"/>
        <rFont val="Calibri"/>
        <family val="2"/>
        <scheme val="minor"/>
      </rPr>
      <t>T</t>
    </r>
  </si>
  <si>
    <t>Effective Tube Length</t>
  </si>
  <si>
    <r>
      <t>L</t>
    </r>
    <r>
      <rPr>
        <vertAlign val="subscript"/>
        <sz val="12"/>
        <color theme="1"/>
        <rFont val="Calibri"/>
        <family val="2"/>
        <scheme val="minor"/>
      </rPr>
      <t>Effective</t>
    </r>
  </si>
  <si>
    <t>Nusselt Number Calculation</t>
  </si>
  <si>
    <t>Laminar Flow, Sieder -Tate Equation</t>
  </si>
  <si>
    <r>
      <t>Nu</t>
    </r>
    <r>
      <rPr>
        <vertAlign val="subscript"/>
        <sz val="12"/>
        <color theme="1"/>
        <rFont val="Calibri"/>
        <family val="2"/>
        <scheme val="minor"/>
      </rPr>
      <t>Laminar</t>
    </r>
  </si>
  <si>
    <t>Turbulent Flow, Petukhov-Kirillov</t>
  </si>
  <si>
    <r>
      <t>Nu</t>
    </r>
    <r>
      <rPr>
        <vertAlign val="subscript"/>
        <sz val="12"/>
        <color theme="1"/>
        <rFont val="Calibri"/>
        <family val="2"/>
        <scheme val="minor"/>
      </rPr>
      <t>Turb</t>
    </r>
  </si>
  <si>
    <t>Transition Flow</t>
  </si>
  <si>
    <r>
      <t>Nu</t>
    </r>
    <r>
      <rPr>
        <vertAlign val="subscript"/>
        <sz val="11"/>
        <color theme="1"/>
        <rFont val="Calibri"/>
        <family val="2"/>
        <scheme val="minor"/>
      </rPr>
      <t>Tube</t>
    </r>
  </si>
  <si>
    <r>
      <t>Nu</t>
    </r>
    <r>
      <rPr>
        <vertAlign val="subscript"/>
        <sz val="12"/>
        <color theme="1"/>
        <rFont val="Calibri"/>
        <family val="2"/>
        <scheme val="minor"/>
      </rPr>
      <t>Re=2300</t>
    </r>
  </si>
  <si>
    <r>
      <t>Nu</t>
    </r>
    <r>
      <rPr>
        <vertAlign val="subscript"/>
        <sz val="12"/>
        <color theme="1"/>
        <rFont val="Calibri"/>
        <family val="2"/>
        <scheme val="minor"/>
      </rPr>
      <t>Re=10000</t>
    </r>
  </si>
  <si>
    <r>
      <t>f</t>
    </r>
    <r>
      <rPr>
        <vertAlign val="subscript"/>
        <sz val="12"/>
        <color theme="1"/>
        <rFont val="Calibri"/>
        <family val="2"/>
        <scheme val="minor"/>
      </rPr>
      <t>Re=10000</t>
    </r>
  </si>
  <si>
    <r>
      <t>Nu</t>
    </r>
    <r>
      <rPr>
        <vertAlign val="subscript"/>
        <sz val="11"/>
        <color theme="1"/>
        <rFont val="Calibri"/>
        <family val="2"/>
        <scheme val="minor"/>
      </rPr>
      <t>Trans.</t>
    </r>
  </si>
  <si>
    <t>Selected Nusslet's Number</t>
  </si>
  <si>
    <t>Tube side heat transfer coefficient</t>
  </si>
  <si>
    <r>
      <t>h</t>
    </r>
    <r>
      <rPr>
        <vertAlign val="subscript"/>
        <sz val="12"/>
        <color theme="1"/>
        <rFont val="Calibri"/>
        <family val="2"/>
        <scheme val="minor"/>
      </rPr>
      <t>t</t>
    </r>
  </si>
  <si>
    <t>Carbon Steel</t>
  </si>
  <si>
    <t>Copper</t>
  </si>
  <si>
    <t>Inconel</t>
  </si>
  <si>
    <t>Monel</t>
  </si>
  <si>
    <t>Nickel</t>
  </si>
  <si>
    <t>Stainless Steel</t>
  </si>
  <si>
    <t>Tube Material</t>
  </si>
  <si>
    <t>Overall Heat Transfer Coefficient</t>
  </si>
  <si>
    <t>Wall Resistance</t>
  </si>
  <si>
    <t>Rw</t>
  </si>
  <si>
    <t>Tube wall conductivity</t>
  </si>
  <si>
    <t>Overall H.T.C Clean</t>
  </si>
  <si>
    <r>
      <t>U</t>
    </r>
    <r>
      <rPr>
        <vertAlign val="subscript"/>
        <sz val="12"/>
        <color theme="1"/>
        <rFont val="Calibri"/>
        <family val="2"/>
        <scheme val="minor"/>
      </rPr>
      <t>Clean</t>
    </r>
  </si>
  <si>
    <t>Overall H.T.C Dirty</t>
  </si>
  <si>
    <r>
      <t>U</t>
    </r>
    <r>
      <rPr>
        <vertAlign val="subscript"/>
        <sz val="12"/>
        <color theme="1"/>
        <rFont val="Calibri"/>
        <family val="2"/>
        <scheme val="minor"/>
      </rPr>
      <t>Dirty</t>
    </r>
  </si>
  <si>
    <t>Tube Side Pressure Drop</t>
  </si>
  <si>
    <r>
      <t>ΔP</t>
    </r>
    <r>
      <rPr>
        <vertAlign val="subscript"/>
        <sz val="12"/>
        <color theme="1"/>
        <rFont val="Calibri"/>
        <family val="2"/>
      </rPr>
      <t>T,Total</t>
    </r>
  </si>
  <si>
    <t>LMTD Calculation</t>
  </si>
  <si>
    <t>Temperature Difference 2: T_outlet - t_inlet</t>
  </si>
  <si>
    <t>Temperature Difference 1 : T_inlet - t_outlet</t>
  </si>
  <si>
    <t>LMTD</t>
  </si>
  <si>
    <t>Area Calculation</t>
  </si>
  <si>
    <t>Area Required</t>
  </si>
  <si>
    <t>Heat Duty</t>
  </si>
  <si>
    <t>Kcal/h</t>
  </si>
  <si>
    <t>Area Available</t>
  </si>
  <si>
    <t>Over Design</t>
  </si>
  <si>
    <t>U Required</t>
  </si>
  <si>
    <t xml:space="preserve">Over Surface </t>
  </si>
  <si>
    <t>k_tube</t>
  </si>
  <si>
    <t>R</t>
  </si>
  <si>
    <t>S</t>
  </si>
  <si>
    <t>Ft</t>
  </si>
  <si>
    <t>LMTD Correction Factor 1 Shell - 2 Tube Passes</t>
  </si>
  <si>
    <t>LMTD Corrected</t>
  </si>
  <si>
    <t>Wall Temperature</t>
  </si>
  <si>
    <t>T_Wall</t>
  </si>
  <si>
    <t>Hot Stream</t>
  </si>
  <si>
    <t>Cold Stream</t>
  </si>
  <si>
    <t>Select Tube Side</t>
  </si>
  <si>
    <t>Hot Fluid</t>
  </si>
  <si>
    <t>Cold Fluid</t>
  </si>
  <si>
    <t>Heat Exchanger Dropdown List Options</t>
  </si>
  <si>
    <t>(Do not change this section, it will effect the drop down menu options)</t>
  </si>
  <si>
    <t>Type of Fluid</t>
  </si>
  <si>
    <t>Result Summary</t>
  </si>
  <si>
    <t>Log Mean Temperature Difference</t>
  </si>
  <si>
    <t>LMTD Correction Factor</t>
  </si>
  <si>
    <t>Corrected LMTD</t>
  </si>
  <si>
    <t>Q</t>
  </si>
  <si>
    <t>Temperature Wall</t>
  </si>
  <si>
    <r>
      <t>T</t>
    </r>
    <r>
      <rPr>
        <vertAlign val="subscript"/>
        <sz val="12"/>
        <color theme="1"/>
        <rFont val="Calibri"/>
        <family val="2"/>
        <scheme val="minor"/>
      </rPr>
      <t>Wall</t>
    </r>
  </si>
  <si>
    <r>
      <t>A</t>
    </r>
    <r>
      <rPr>
        <vertAlign val="subscript"/>
        <sz val="12"/>
        <color theme="1"/>
        <rFont val="Calibri"/>
        <family val="2"/>
        <scheme val="minor"/>
      </rPr>
      <t>Required</t>
    </r>
  </si>
  <si>
    <t>Heat Exchanger Area Required</t>
  </si>
  <si>
    <t>Heat Exchanger Area Available</t>
  </si>
  <si>
    <r>
      <t>A</t>
    </r>
    <r>
      <rPr>
        <vertAlign val="subscript"/>
        <sz val="12"/>
        <color theme="1"/>
        <rFont val="Calibri"/>
        <family val="2"/>
        <scheme val="minor"/>
      </rPr>
      <t>Available</t>
    </r>
  </si>
  <si>
    <t>Heat Transfer Coefficient</t>
  </si>
  <si>
    <r>
      <t>U</t>
    </r>
    <r>
      <rPr>
        <vertAlign val="subscript"/>
        <sz val="12"/>
        <color theme="1"/>
        <rFont val="Calibri"/>
        <family val="2"/>
        <scheme val="minor"/>
      </rPr>
      <t>Required</t>
    </r>
  </si>
  <si>
    <t>Over Surface</t>
  </si>
  <si>
    <t>Detailed Calculation</t>
  </si>
  <si>
    <t>CheGuide.com</t>
  </si>
  <si>
    <t>Chemical Engineer's Guide</t>
  </si>
  <si>
    <t>Description</t>
  </si>
  <si>
    <t>Date</t>
  </si>
  <si>
    <t xml:space="preserve">User Input </t>
  </si>
  <si>
    <t>By</t>
  </si>
  <si>
    <t>CheGuide</t>
  </si>
  <si>
    <t>Case 1</t>
  </si>
  <si>
    <t>Case 2</t>
  </si>
  <si>
    <r>
      <t>Kg/m</t>
    </r>
    <r>
      <rPr>
        <sz val="11"/>
        <color rgb="FF7030A0"/>
        <rFont val="Calibri"/>
        <family val="2"/>
      </rPr>
      <t>³</t>
    </r>
  </si>
  <si>
    <r>
      <t>Kcal/Kg.</t>
    </r>
    <r>
      <rPr>
        <sz val="11"/>
        <color rgb="FF7030A0"/>
        <rFont val="Calibri"/>
        <family val="2"/>
      </rPr>
      <t>°C</t>
    </r>
  </si>
  <si>
    <r>
      <t>Kcal/m.h.</t>
    </r>
    <r>
      <rPr>
        <sz val="11"/>
        <color rgb="FF7030A0"/>
        <rFont val="Calibri"/>
        <family val="2"/>
      </rPr>
      <t>°C</t>
    </r>
  </si>
  <si>
    <r>
      <t>m</t>
    </r>
    <r>
      <rPr>
        <sz val="11"/>
        <color rgb="FF7030A0"/>
        <rFont val="Calibri"/>
        <family val="2"/>
      </rPr>
      <t>².h.°C/Kcal</t>
    </r>
  </si>
  <si>
    <r>
      <t>m</t>
    </r>
    <r>
      <rPr>
        <sz val="11"/>
        <color rgb="FF7030A0"/>
        <rFont val="Calibri"/>
        <family val="2"/>
      </rPr>
      <t>²</t>
    </r>
  </si>
  <si>
    <r>
      <t>Kcal/m</t>
    </r>
    <r>
      <rPr>
        <sz val="11"/>
        <color rgb="FF7030A0"/>
        <rFont val="Calibri"/>
        <family val="2"/>
      </rPr>
      <t>².h.°C</t>
    </r>
  </si>
  <si>
    <r>
      <t>Kg/m</t>
    </r>
    <r>
      <rPr>
        <sz val="11"/>
        <color rgb="FF7030A0"/>
        <rFont val="Calibri"/>
        <family val="2"/>
      </rPr>
      <t>².s</t>
    </r>
  </si>
  <si>
    <r>
      <t>Kcal/m</t>
    </r>
    <r>
      <rPr>
        <sz val="11"/>
        <color rgb="FF7030A0"/>
        <rFont val="Calibri"/>
        <family val="2"/>
      </rPr>
      <t>.h.°C</t>
    </r>
  </si>
  <si>
    <t>Project</t>
  </si>
  <si>
    <t>Case 3</t>
  </si>
  <si>
    <t>Case 4</t>
  </si>
  <si>
    <t>Case 5</t>
  </si>
  <si>
    <t>Shell &amp; Tube Heat Exchanger Rating (Bell Delaware Method)</t>
  </si>
  <si>
    <t>Feed Heat Exchanger</t>
  </si>
  <si>
    <t>E-101</t>
  </si>
  <si>
    <t>Correction factor for Baffle Window Flow</t>
  </si>
  <si>
    <t>26-March-2017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</si>
</sst>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0.000"/>
    <numFmt numFmtId="165" formatCode="0.0000"/>
    <numFmt numFmtId="166" formatCode="0.0"/>
    <numFmt numFmtId="167" formatCode="0.0E+00"/>
    <numFmt numFmtId="168" formatCode="0.00000"/>
    <numFmt numFmtId="169" formatCode="0.000000"/>
    <numFmt numFmtId="170" formatCode="[$-14009]dd/mm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</font>
    <font>
      <i/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0"/>
      <color rgb="FF000000"/>
      <name val="Arial"/>
      <family val="2"/>
    </font>
    <font>
      <sz val="11"/>
      <color rgb="FF7030A0"/>
      <name val="Calibri"/>
      <family val="2"/>
      <scheme val="minor"/>
    </font>
    <font>
      <sz val="11"/>
      <color rgb="FF7030A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ashed">
        <color theme="9" tint="-0.24994659260841701"/>
      </bottom>
      <diagonal/>
    </border>
    <border>
      <left/>
      <right/>
      <top style="dashed">
        <color theme="9" tint="-0.24994659260841701"/>
      </top>
      <bottom style="dashed">
        <color theme="9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theme="9" tint="-0.24994659260841701"/>
      </bottom>
      <diagonal/>
    </border>
    <border>
      <left style="thin">
        <color indexed="64"/>
      </left>
      <right style="thin">
        <color indexed="64"/>
      </right>
      <top style="dashed">
        <color theme="9" tint="-0.24994659260841701"/>
      </top>
      <bottom style="dashed">
        <color theme="9" tint="-0.24994659260841701"/>
      </bottom>
      <diagonal/>
    </border>
    <border>
      <left style="thin">
        <color indexed="64"/>
      </left>
      <right style="thin">
        <color indexed="64"/>
      </right>
      <top style="dashed">
        <color theme="9" tint="-0.24994659260841701"/>
      </top>
      <bottom style="dashed">
        <color theme="6" tint="-0.499984740745262"/>
      </bottom>
      <diagonal/>
    </border>
    <border>
      <left style="thin">
        <color indexed="64"/>
      </left>
      <right style="thin">
        <color indexed="64"/>
      </right>
      <top style="dashed">
        <color theme="6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dashed">
        <color theme="6" tint="-0.499984740745262"/>
      </bottom>
      <diagonal/>
    </border>
    <border>
      <left style="thin">
        <color indexed="64"/>
      </left>
      <right style="thin">
        <color indexed="64"/>
      </right>
      <top style="dashed">
        <color theme="6" tint="-0.499984740745262"/>
      </top>
      <bottom style="dashed">
        <color theme="6" tint="-0.499984740745262"/>
      </bottom>
      <diagonal/>
    </border>
    <border>
      <left style="thin">
        <color indexed="64"/>
      </left>
      <right style="thin">
        <color indexed="64"/>
      </right>
      <top style="dashed">
        <color theme="6" tint="-0.49998474074526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theme="9" tint="-0.24994659260841701"/>
      </bottom>
      <diagonal/>
    </border>
    <border>
      <left/>
      <right style="thin">
        <color indexed="64"/>
      </right>
      <top style="dashed">
        <color theme="9" tint="-0.24994659260841701"/>
      </top>
      <bottom style="dashed">
        <color theme="9" tint="-0.24994659260841701"/>
      </bottom>
      <diagonal/>
    </border>
    <border>
      <left/>
      <right style="thin">
        <color indexed="64"/>
      </right>
      <top style="dashed">
        <color theme="9" tint="-0.24994659260841701"/>
      </top>
      <bottom style="dashed">
        <color theme="6" tint="-0.499984740745262"/>
      </bottom>
      <diagonal/>
    </border>
    <border>
      <left/>
      <right style="thin">
        <color indexed="64"/>
      </right>
      <top style="dashed">
        <color theme="6" tint="-0.499984740745262"/>
      </top>
      <bottom/>
      <diagonal/>
    </border>
    <border>
      <left/>
      <right style="thin">
        <color indexed="64"/>
      </right>
      <top/>
      <bottom style="dashed">
        <color theme="6" tint="-0.499984740745262"/>
      </bottom>
      <diagonal/>
    </border>
    <border>
      <left/>
      <right style="thin">
        <color indexed="64"/>
      </right>
      <top style="dashed">
        <color theme="6" tint="-0.499984740745262"/>
      </top>
      <bottom style="dashed">
        <color theme="6" tint="-0.499984740745262"/>
      </bottom>
      <diagonal/>
    </border>
    <border>
      <left/>
      <right style="thin">
        <color indexed="64"/>
      </right>
      <top style="dashed">
        <color theme="6" tint="-0.499984740745262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3" fillId="0" borderId="0" xfId="0" applyFont="1"/>
    <xf numFmtId="0" fontId="2" fillId="0" borderId="0" xfId="0" applyFont="1"/>
    <xf numFmtId="165" fontId="0" fillId="0" borderId="0" xfId="0" applyNumberFormat="1"/>
    <xf numFmtId="0" fontId="0" fillId="0" borderId="0" xfId="0" applyFont="1"/>
    <xf numFmtId="0" fontId="6" fillId="0" borderId="0" xfId="0" applyFont="1"/>
    <xf numFmtId="0" fontId="8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43" fontId="0" fillId="3" borderId="0" xfId="1" applyFont="1" applyFill="1" applyBorder="1" applyAlignment="1">
      <alignment horizontal="right"/>
    </xf>
    <xf numFmtId="164" fontId="0" fillId="3" borderId="0" xfId="0" applyNumberFormat="1" applyFill="1" applyAlignment="1">
      <alignment horizontal="center"/>
    </xf>
    <xf numFmtId="164" fontId="0" fillId="3" borderId="0" xfId="0" applyNumberFormat="1" applyFill="1"/>
    <xf numFmtId="0" fontId="0" fillId="3" borderId="0" xfId="0" applyFill="1" applyBorder="1"/>
    <xf numFmtId="0" fontId="0" fillId="3" borderId="0" xfId="0" applyFill="1" applyAlignment="1">
      <alignment horizontal="left"/>
    </xf>
    <xf numFmtId="2" fontId="0" fillId="3" borderId="0" xfId="0" applyNumberFormat="1" applyFill="1"/>
    <xf numFmtId="0" fontId="10" fillId="3" borderId="0" xfId="0" applyFont="1" applyFill="1"/>
    <xf numFmtId="0" fontId="11" fillId="3" borderId="0" xfId="0" applyFont="1" applyFill="1"/>
    <xf numFmtId="0" fontId="9" fillId="3" borderId="0" xfId="0" applyFont="1" applyFill="1" applyAlignment="1">
      <alignment horizontal="left"/>
    </xf>
    <xf numFmtId="0" fontId="0" fillId="3" borderId="0" xfId="0" applyFont="1" applyFill="1"/>
    <xf numFmtId="0" fontId="9" fillId="0" borderId="0" xfId="0" applyFont="1"/>
    <xf numFmtId="164" fontId="13" fillId="0" borderId="0" xfId="2" applyNumberFormat="1" applyProtection="1"/>
    <xf numFmtId="164" fontId="0" fillId="0" borderId="0" xfId="0" applyNumberFormat="1" applyProtection="1"/>
    <xf numFmtId="164" fontId="9" fillId="0" borderId="0" xfId="0" applyNumberFormat="1" applyFont="1" applyBorder="1" applyProtection="1"/>
    <xf numFmtId="164" fontId="14" fillId="0" borderId="0" xfId="0" applyNumberFormat="1" applyFont="1" applyProtection="1"/>
    <xf numFmtId="164" fontId="15" fillId="0" borderId="0" xfId="0" applyNumberFormat="1" applyFont="1" applyAlignment="1">
      <alignment horizontal="left"/>
    </xf>
    <xf numFmtId="164" fontId="9" fillId="2" borderId="1" xfId="0" applyNumberFormat="1" applyFont="1" applyFill="1" applyBorder="1" applyAlignment="1" applyProtection="1">
      <protection locked="0"/>
    </xf>
    <xf numFmtId="164" fontId="0" fillId="0" borderId="0" xfId="0" applyNumberFormat="1" applyAlignment="1">
      <alignment wrapText="1"/>
    </xf>
    <xf numFmtId="164" fontId="9" fillId="0" borderId="0" xfId="0" applyNumberFormat="1" applyFont="1" applyFill="1" applyBorder="1" applyAlignment="1" applyProtection="1">
      <protection locked="0"/>
    </xf>
    <xf numFmtId="0" fontId="3" fillId="5" borderId="3" xfId="0" applyFont="1" applyFill="1" applyBorder="1"/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4" fontId="12" fillId="0" borderId="0" xfId="0" applyNumberFormat="1" applyFont="1" applyAlignment="1" applyProtection="1">
      <alignment vertical="center"/>
    </xf>
    <xf numFmtId="164" fontId="9" fillId="0" borderId="0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2" fontId="0" fillId="2" borderId="8" xfId="0" applyNumberFormat="1" applyFill="1" applyBorder="1"/>
    <xf numFmtId="2" fontId="0" fillId="4" borderId="6" xfId="0" applyNumberFormat="1" applyFill="1" applyBorder="1"/>
    <xf numFmtId="0" fontId="0" fillId="2" borderId="7" xfId="0" applyFill="1" applyBorder="1" applyAlignment="1">
      <alignment horizontal="center"/>
    </xf>
    <xf numFmtId="0" fontId="0" fillId="0" borderId="6" xfId="0" applyFill="1" applyBorder="1" applyAlignment="1">
      <alignment horizontal="right"/>
    </xf>
    <xf numFmtId="165" fontId="0" fillId="4" borderId="9" xfId="0" applyNumberFormat="1" applyFill="1" applyBorder="1"/>
    <xf numFmtId="168" fontId="0" fillId="4" borderId="10" xfId="0" applyNumberFormat="1" applyFill="1" applyBorder="1"/>
    <xf numFmtId="0" fontId="0" fillId="2" borderId="7" xfId="0" applyFill="1" applyBorder="1" applyAlignment="1">
      <alignment horizontal="right"/>
    </xf>
    <xf numFmtId="2" fontId="0" fillId="0" borderId="6" xfId="0" applyNumberFormat="1" applyBorder="1"/>
    <xf numFmtId="2" fontId="0" fillId="2" borderId="6" xfId="0" applyNumberFormat="1" applyFill="1" applyBorder="1"/>
    <xf numFmtId="0" fontId="0" fillId="4" borderId="9" xfId="0" applyFill="1" applyBorder="1"/>
    <xf numFmtId="0" fontId="0" fillId="0" borderId="6" xfId="0" applyFill="1" applyBorder="1"/>
    <xf numFmtId="2" fontId="0" fillId="4" borderId="11" xfId="0" applyNumberFormat="1" applyFill="1" applyBorder="1"/>
    <xf numFmtId="165" fontId="0" fillId="4" borderId="12" xfId="0" applyNumberFormat="1" applyFill="1" applyBorder="1"/>
    <xf numFmtId="2" fontId="0" fillId="4" borderId="12" xfId="0" applyNumberFormat="1" applyFill="1" applyBorder="1"/>
    <xf numFmtId="1" fontId="0" fillId="4" borderId="12" xfId="0" applyNumberFormat="1" applyFill="1" applyBorder="1"/>
    <xf numFmtId="164" fontId="0" fillId="4" borderId="12" xfId="0" applyNumberFormat="1" applyFill="1" applyBorder="1"/>
    <xf numFmtId="164" fontId="0" fillId="0" borderId="6" xfId="0" applyNumberFormat="1" applyFill="1" applyBorder="1"/>
    <xf numFmtId="1" fontId="0" fillId="4" borderId="11" xfId="0" applyNumberFormat="1" applyFill="1" applyBorder="1"/>
    <xf numFmtId="166" fontId="0" fillId="4" borderId="12" xfId="0" applyNumberFormat="1" applyFill="1" applyBorder="1"/>
    <xf numFmtId="0" fontId="0" fillId="4" borderId="12" xfId="0" applyFill="1" applyBorder="1"/>
    <xf numFmtId="167" fontId="0" fillId="4" borderId="12" xfId="0" applyNumberFormat="1" applyFill="1" applyBorder="1"/>
    <xf numFmtId="164" fontId="0" fillId="4" borderId="11" xfId="0" applyNumberFormat="1" applyFill="1" applyBorder="1"/>
    <xf numFmtId="0" fontId="0" fillId="4" borderId="11" xfId="0" applyFill="1" applyBorder="1"/>
    <xf numFmtId="166" fontId="0" fillId="4" borderId="11" xfId="0" applyNumberFormat="1" applyFill="1" applyBorder="1"/>
    <xf numFmtId="165" fontId="0" fillId="4" borderId="11" xfId="0" applyNumberFormat="1" applyFill="1" applyBorder="1"/>
    <xf numFmtId="1" fontId="0" fillId="0" borderId="6" xfId="0" applyNumberFormat="1" applyBorder="1"/>
    <xf numFmtId="169" fontId="0" fillId="4" borderId="12" xfId="0" applyNumberFormat="1" applyFill="1" applyBorder="1"/>
    <xf numFmtId="164" fontId="0" fillId="4" borderId="13" xfId="0" applyNumberFormat="1" applyFill="1" applyBorder="1"/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2" fontId="0" fillId="2" borderId="16" xfId="0" applyNumberFormat="1" applyFill="1" applyBorder="1"/>
    <xf numFmtId="2" fontId="0" fillId="4" borderId="14" xfId="0" applyNumberFormat="1" applyFill="1" applyBorder="1"/>
    <xf numFmtId="0" fontId="0" fillId="2" borderId="15" xfId="0" applyFill="1" applyBorder="1" applyAlignment="1">
      <alignment horizontal="center"/>
    </xf>
    <xf numFmtId="0" fontId="0" fillId="0" borderId="14" xfId="0" applyFill="1" applyBorder="1" applyAlignment="1">
      <alignment horizontal="right"/>
    </xf>
    <xf numFmtId="0" fontId="0" fillId="0" borderId="14" xfId="0" applyFill="1" applyBorder="1"/>
    <xf numFmtId="165" fontId="0" fillId="4" borderId="17" xfId="0" applyNumberFormat="1" applyFill="1" applyBorder="1"/>
    <xf numFmtId="168" fontId="0" fillId="4" borderId="18" xfId="0" applyNumberFormat="1" applyFill="1" applyBorder="1"/>
    <xf numFmtId="0" fontId="0" fillId="2" borderId="15" xfId="0" applyFill="1" applyBorder="1" applyAlignment="1">
      <alignment horizontal="right"/>
    </xf>
    <xf numFmtId="2" fontId="0" fillId="0" borderId="14" xfId="0" applyNumberFormat="1" applyBorder="1"/>
    <xf numFmtId="2" fontId="0" fillId="2" borderId="14" xfId="0" applyNumberFormat="1" applyFill="1" applyBorder="1"/>
    <xf numFmtId="0" fontId="0" fillId="4" borderId="17" xfId="0" applyFill="1" applyBorder="1"/>
    <xf numFmtId="2" fontId="0" fillId="4" borderId="19" xfId="0" applyNumberFormat="1" applyFill="1" applyBorder="1"/>
    <xf numFmtId="165" fontId="0" fillId="4" borderId="20" xfId="0" applyNumberFormat="1" applyFill="1" applyBorder="1"/>
    <xf numFmtId="2" fontId="0" fillId="4" borderId="20" xfId="0" applyNumberFormat="1" applyFill="1" applyBorder="1"/>
    <xf numFmtId="1" fontId="0" fillId="4" borderId="20" xfId="0" applyNumberFormat="1" applyFill="1" applyBorder="1"/>
    <xf numFmtId="164" fontId="0" fillId="4" borderId="20" xfId="0" applyNumberFormat="1" applyFill="1" applyBorder="1"/>
    <xf numFmtId="164" fontId="0" fillId="0" borderId="14" xfId="0" applyNumberFormat="1" applyFill="1" applyBorder="1"/>
    <xf numFmtId="1" fontId="0" fillId="4" borderId="19" xfId="0" applyNumberFormat="1" applyFill="1" applyBorder="1"/>
    <xf numFmtId="166" fontId="0" fillId="4" borderId="20" xfId="0" applyNumberFormat="1" applyFill="1" applyBorder="1"/>
    <xf numFmtId="0" fontId="0" fillId="4" borderId="20" xfId="0" applyFill="1" applyBorder="1"/>
    <xf numFmtId="167" fontId="0" fillId="4" borderId="20" xfId="0" applyNumberFormat="1" applyFill="1" applyBorder="1"/>
    <xf numFmtId="164" fontId="0" fillId="4" borderId="19" xfId="0" applyNumberFormat="1" applyFill="1" applyBorder="1"/>
    <xf numFmtId="0" fontId="0" fillId="4" borderId="19" xfId="0" applyFill="1" applyBorder="1"/>
    <xf numFmtId="166" fontId="0" fillId="4" borderId="19" xfId="0" applyNumberFormat="1" applyFill="1" applyBorder="1"/>
    <xf numFmtId="165" fontId="0" fillId="4" borderId="19" xfId="0" applyNumberFormat="1" applyFill="1" applyBorder="1"/>
    <xf numFmtId="169" fontId="0" fillId="4" borderId="20" xfId="0" applyNumberFormat="1" applyFill="1" applyBorder="1"/>
    <xf numFmtId="164" fontId="0" fillId="4" borderId="21" xfId="0" applyNumberFormat="1" applyFill="1" applyBorder="1"/>
    <xf numFmtId="2" fontId="0" fillId="0" borderId="6" xfId="0" applyNumberFormat="1" applyFill="1" applyBorder="1"/>
    <xf numFmtId="2" fontId="0" fillId="0" borderId="14" xfId="0" applyNumberFormat="1" applyFill="1" applyBorder="1"/>
    <xf numFmtId="164" fontId="12" fillId="0" borderId="0" xfId="0" applyNumberFormat="1" applyFont="1" applyAlignment="1" applyProtection="1">
      <alignment horizontal="center" vertical="center"/>
    </xf>
    <xf numFmtId="164" fontId="9" fillId="2" borderId="1" xfId="0" applyNumberFormat="1" applyFont="1" applyFill="1" applyBorder="1" applyAlignment="1" applyProtection="1">
      <alignment horizontal="left"/>
      <protection locked="0"/>
    </xf>
    <xf numFmtId="164" fontId="9" fillId="2" borderId="2" xfId="0" applyNumberFormat="1" applyFont="1" applyFill="1" applyBorder="1" applyAlignment="1" applyProtection="1">
      <alignment horizontal="left"/>
      <protection locked="0"/>
    </xf>
    <xf numFmtId="170" fontId="9" fillId="2" borderId="2" xfId="0" quotePrefix="1" applyNumberFormat="1" applyFont="1" applyFill="1" applyBorder="1" applyAlignment="1" applyProtection="1">
      <alignment horizontal="left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.%20Heat%20Exchange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Process Fluids"/>
      <sheetName val="Process Data"/>
      <sheetName val="Tubes Pressure Drop"/>
      <sheetName val="F Factor"/>
      <sheetName val="Tubes htc"/>
      <sheetName val="Shell Geometry"/>
      <sheetName val="Shell htc"/>
      <sheetName val="Shell Pressure Drop"/>
      <sheetName val="Overall U"/>
      <sheetName val="Nozzles"/>
      <sheetName val="Weight"/>
      <sheetName val="Shell-and-Tube"/>
      <sheetName val="Conversions"/>
      <sheetName val="Fluid Data"/>
      <sheetName val="Yaws Data"/>
    </sheetNames>
    <sheetDataSet>
      <sheetData sheetId="0" refreshError="1"/>
      <sheetData sheetId="1" refreshError="1"/>
      <sheetData sheetId="2">
        <row r="8">
          <cell r="D8" t="str">
            <v>Distilled Water</v>
          </cell>
        </row>
        <row r="9">
          <cell r="D9">
            <v>396000.00000000006</v>
          </cell>
        </row>
        <row r="10">
          <cell r="D10">
            <v>89.6</v>
          </cell>
        </row>
        <row r="11">
          <cell r="D11">
            <v>77</v>
          </cell>
        </row>
        <row r="12">
          <cell r="D12">
            <v>29.007539999999999</v>
          </cell>
        </row>
        <row r="13">
          <cell r="D13">
            <v>1.5</v>
          </cell>
        </row>
        <row r="14">
          <cell r="D14">
            <v>4.9968714400000004E-4</v>
          </cell>
        </row>
        <row r="17">
          <cell r="D17" t="str">
            <v>Raw Water</v>
          </cell>
        </row>
        <row r="18">
          <cell r="D18">
            <v>1188000</v>
          </cell>
        </row>
        <row r="19">
          <cell r="D19">
            <v>68</v>
          </cell>
        </row>
        <row r="20">
          <cell r="D20">
            <v>72.201249283779845</v>
          </cell>
        </row>
        <row r="21">
          <cell r="D21">
            <v>60</v>
          </cell>
        </row>
        <row r="22">
          <cell r="D22">
            <v>10</v>
          </cell>
        </row>
        <row r="23">
          <cell r="D23">
            <v>4.9968714400000004E-4</v>
          </cell>
        </row>
        <row r="37">
          <cell r="G37">
            <v>61.90914634416702</v>
          </cell>
          <cell r="H37">
            <v>0.77409439428238858</v>
          </cell>
          <cell r="J37">
            <v>1.0027774669052627</v>
          </cell>
          <cell r="K37">
            <v>0.35043440504497053</v>
          </cell>
          <cell r="M37">
            <v>62.109309022728048</v>
          </cell>
          <cell r="N37">
            <v>0.90249674049299589</v>
          </cell>
          <cell r="P37">
            <v>1.0024928617596298</v>
          </cell>
          <cell r="Q37">
            <v>0.34568138116406494</v>
          </cell>
        </row>
        <row r="49">
          <cell r="G49">
            <v>62.252282364557352</v>
          </cell>
          <cell r="H49">
            <v>1.0159835467780003</v>
          </cell>
          <cell r="J49">
            <v>1.0022895723698919</v>
          </cell>
          <cell r="K49">
            <v>0.34228636410627516</v>
          </cell>
          <cell r="M49">
            <v>62.185541625672911</v>
          </cell>
          <cell r="N49">
            <v>0.96039715716171481</v>
          </cell>
          <cell r="P49">
            <v>1.0023844689702293</v>
          </cell>
          <cell r="Q49">
            <v>0.34387117665988182</v>
          </cell>
        </row>
      </sheetData>
      <sheetData sheetId="3">
        <row r="10">
          <cell r="D10">
            <v>0.75</v>
          </cell>
        </row>
        <row r="11">
          <cell r="D11">
            <v>14</v>
          </cell>
        </row>
        <row r="12">
          <cell r="D12">
            <v>14.999999999999998</v>
          </cell>
        </row>
        <row r="13">
          <cell r="D13">
            <v>1</v>
          </cell>
        </row>
        <row r="14">
          <cell r="D14">
            <v>1</v>
          </cell>
        </row>
        <row r="31">
          <cell r="D31">
            <v>12.741329152517334</v>
          </cell>
        </row>
        <row r="35">
          <cell r="D35">
            <v>308</v>
          </cell>
        </row>
        <row r="37">
          <cell r="D37">
            <v>907.13487872405256</v>
          </cell>
        </row>
        <row r="40">
          <cell r="D40">
            <v>9.2573722467921478</v>
          </cell>
        </row>
        <row r="51">
          <cell r="D51">
            <v>4.7813261646976146</v>
          </cell>
        </row>
      </sheetData>
      <sheetData sheetId="4" refreshError="1"/>
      <sheetData sheetId="5" refreshError="1"/>
      <sheetData sheetId="6">
        <row r="7">
          <cell r="D7">
            <v>1</v>
          </cell>
        </row>
        <row r="8">
          <cell r="D8">
            <v>21.25</v>
          </cell>
        </row>
        <row r="10">
          <cell r="D10">
            <v>0.25</v>
          </cell>
        </row>
        <row r="13">
          <cell r="D13">
            <v>2</v>
          </cell>
        </row>
        <row r="14">
          <cell r="D14">
            <v>90</v>
          </cell>
        </row>
        <row r="15">
          <cell r="D15">
            <v>1.33</v>
          </cell>
        </row>
        <row r="33">
          <cell r="D33">
            <v>16</v>
          </cell>
        </row>
      </sheetData>
      <sheetData sheetId="7"/>
      <sheetData sheetId="8">
        <row r="32">
          <cell r="D32">
            <v>3.7686409674373134</v>
          </cell>
        </row>
        <row r="64">
          <cell r="D64">
            <v>3.5145815320742599</v>
          </cell>
        </row>
      </sheetData>
      <sheetData sheetId="9">
        <row r="7">
          <cell r="D7" t="str">
            <v>Cr-alloy (0.5% Cr)</v>
          </cell>
        </row>
        <row r="25">
          <cell r="D25">
            <v>502.55350490528184</v>
          </cell>
        </row>
        <row r="26">
          <cell r="D26">
            <v>319.36163177888602</v>
          </cell>
        </row>
      </sheetData>
      <sheetData sheetId="10">
        <row r="26">
          <cell r="D26">
            <v>16</v>
          </cell>
        </row>
        <row r="28">
          <cell r="D28">
            <v>986.84490091267855</v>
          </cell>
        </row>
        <row r="33">
          <cell r="D33">
            <v>16</v>
          </cell>
        </row>
        <row r="42">
          <cell r="D42">
            <v>12</v>
          </cell>
        </row>
        <row r="44">
          <cell r="D44">
            <v>278.79857562821883</v>
          </cell>
        </row>
        <row r="49">
          <cell r="D49">
            <v>12</v>
          </cell>
        </row>
        <row r="51">
          <cell r="D51">
            <v>277.90007795444308</v>
          </cell>
        </row>
      </sheetData>
      <sheetData sheetId="11">
        <row r="39">
          <cell r="D39">
            <v>4229.4616102464497</v>
          </cell>
        </row>
        <row r="41">
          <cell r="D41">
            <v>7017.484537940858</v>
          </cell>
        </row>
        <row r="49">
          <cell r="D49">
            <v>9205.0862335662932</v>
          </cell>
        </row>
      </sheetData>
      <sheetData sheetId="12" refreshError="1"/>
      <sheetData sheetId="13">
        <row r="14">
          <cell r="B14" t="str">
            <v>volume</v>
          </cell>
          <cell r="C14" t="str">
            <v>gallons</v>
          </cell>
          <cell r="D14">
            <v>3.785412</v>
          </cell>
          <cell r="E14" t="str">
            <v>liters</v>
          </cell>
        </row>
        <row r="15">
          <cell r="B15" t="str">
            <v>length</v>
          </cell>
          <cell r="C15" t="str">
            <v>in</v>
          </cell>
          <cell r="D15">
            <v>25.4</v>
          </cell>
          <cell r="E15" t="str">
            <v>mm</v>
          </cell>
        </row>
        <row r="16">
          <cell r="B16" t="str">
            <v>area</v>
          </cell>
          <cell r="C16" t="str">
            <v>ft²</v>
          </cell>
          <cell r="D16">
            <v>9.2903040000000006E-2</v>
          </cell>
          <cell r="E16" t="str">
            <v>m²</v>
          </cell>
        </row>
        <row r="17">
          <cell r="B17" t="str">
            <v>heat flux</v>
          </cell>
          <cell r="C17" t="str">
            <v>Btu/h-ft²-°F</v>
          </cell>
          <cell r="D17">
            <v>5.6782630000000003</v>
          </cell>
          <cell r="E17" t="str">
            <v>W/m²-°C</v>
          </cell>
        </row>
        <row r="18">
          <cell r="B18" t="str">
            <v>conductivity</v>
          </cell>
          <cell r="C18" t="str">
            <v>Btu/h-ft-°F</v>
          </cell>
          <cell r="D18">
            <v>1.7307349999999999</v>
          </cell>
          <cell r="E18" t="str">
            <v>W/m-°C</v>
          </cell>
        </row>
        <row r="19">
          <cell r="B19" t="str">
            <v>Heat transfer</v>
          </cell>
          <cell r="C19" t="str">
            <v>Btu/hr</v>
          </cell>
          <cell r="D19">
            <v>0.29310000000000003</v>
          </cell>
          <cell r="E19" t="str">
            <v>W</v>
          </cell>
        </row>
        <row r="20">
          <cell r="B20" t="str">
            <v>flowrate</v>
          </cell>
          <cell r="C20" t="str">
            <v>gal/min</v>
          </cell>
          <cell r="D20">
            <v>3.785412</v>
          </cell>
          <cell r="E20" t="str">
            <v>liters/min</v>
          </cell>
        </row>
        <row r="21">
          <cell r="B21" t="str">
            <v>fouling</v>
          </cell>
          <cell r="C21" t="str">
            <v>ft²-h-°F/Btu</v>
          </cell>
          <cell r="D21">
            <v>0.17611019999999999</v>
          </cell>
          <cell r="E21" t="str">
            <v>m²-°C/W</v>
          </cell>
        </row>
        <row r="22">
          <cell r="B22" t="str">
            <v>pipe sizes</v>
          </cell>
          <cell r="C22" t="str">
            <v>inches</v>
          </cell>
          <cell r="E22" t="str">
            <v>DN</v>
          </cell>
        </row>
        <row r="23">
          <cell r="B23" t="str">
            <v>spec heat</v>
          </cell>
          <cell r="C23" t="str">
            <v>Btu/lb-°F</v>
          </cell>
          <cell r="D23">
            <v>4.1867999999999999</v>
          </cell>
          <cell r="E23" t="str">
            <v>kJ/kg-°C</v>
          </cell>
        </row>
        <row r="24">
          <cell r="B24" t="str">
            <v>length</v>
          </cell>
          <cell r="C24" t="str">
            <v>feet</v>
          </cell>
          <cell r="D24">
            <v>304.8</v>
          </cell>
          <cell r="E24" t="str">
            <v>millimeters</v>
          </cell>
        </row>
        <row r="25">
          <cell r="B25" t="str">
            <v>velocity</v>
          </cell>
          <cell r="C25" t="str">
            <v>ft/s</v>
          </cell>
          <cell r="D25">
            <v>0.30480000000000002</v>
          </cell>
          <cell r="E25" t="str">
            <v>m/s</v>
          </cell>
        </row>
        <row r="26">
          <cell r="B26" t="str">
            <v>area</v>
          </cell>
          <cell r="C26" t="str">
            <v>ft²</v>
          </cell>
          <cell r="D26">
            <v>9.2903040000000006E-2</v>
          </cell>
          <cell r="E26" t="str">
            <v>m²</v>
          </cell>
        </row>
        <row r="27">
          <cell r="B27" t="str">
            <v>pressure</v>
          </cell>
          <cell r="C27" t="str">
            <v>psig</v>
          </cell>
          <cell r="D27">
            <v>6.8947570000000002</v>
          </cell>
          <cell r="E27" t="str">
            <v>kPa(g)</v>
          </cell>
        </row>
        <row r="28">
          <cell r="B28" t="str">
            <v>mass flow</v>
          </cell>
          <cell r="C28" t="str">
            <v>lb/h</v>
          </cell>
          <cell r="D28">
            <v>0.45359240000000001</v>
          </cell>
          <cell r="E28" t="str">
            <v>kg/h</v>
          </cell>
        </row>
        <row r="29">
          <cell r="B29" t="str">
            <v>heat of vap</v>
          </cell>
          <cell r="C29" t="str">
            <v>Btu/lb</v>
          </cell>
          <cell r="D29">
            <v>2.3260000000000001</v>
          </cell>
          <cell r="E29" t="str">
            <v>kJ/kg</v>
          </cell>
        </row>
        <row r="30">
          <cell r="B30" t="str">
            <v>dynamic viscosity</v>
          </cell>
          <cell r="C30" t="str">
            <v>lb/ft-h</v>
          </cell>
          <cell r="D30">
            <v>4.1337889999999998E-4</v>
          </cell>
          <cell r="E30" t="str">
            <v>kg/m-s</v>
          </cell>
        </row>
        <row r="31">
          <cell r="B31" t="str">
            <v>density</v>
          </cell>
          <cell r="C31" t="str">
            <v>lb/ft3</v>
          </cell>
          <cell r="D31">
            <v>16.018460000000001</v>
          </cell>
          <cell r="E31" t="str">
            <v>kg/m3</v>
          </cell>
        </row>
        <row r="32">
          <cell r="B32">
            <v>1</v>
          </cell>
          <cell r="F32" t="b">
            <v>0</v>
          </cell>
        </row>
        <row r="33">
          <cell r="F33" t="b">
            <v>0</v>
          </cell>
        </row>
        <row r="34">
          <cell r="C34">
            <v>2</v>
          </cell>
          <cell r="F34" t="b">
            <v>0</v>
          </cell>
        </row>
        <row r="35">
          <cell r="F35" t="b">
            <v>0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7"/>
  <sheetViews>
    <sheetView showGridLines="0" tabSelected="1" zoomScaleNormal="100" workbookViewId="0">
      <selection activeCell="D6" sqref="D6"/>
    </sheetView>
  </sheetViews>
  <sheetFormatPr defaultRowHeight="15" x14ac:dyDescent="0.25"/>
  <cols>
    <col min="1" max="1" width="4.42578125" customWidth="1"/>
    <col min="2" max="2" width="13.140625" customWidth="1"/>
    <col min="3" max="3" width="11.42578125" customWidth="1"/>
    <col min="4" max="4" width="10" customWidth="1"/>
    <col min="5" max="5" width="11.7109375" customWidth="1"/>
    <col min="6" max="6" width="12.140625" style="1" customWidth="1"/>
    <col min="7" max="11" width="15.140625" customWidth="1"/>
    <col min="12" max="12" width="9.5703125" bestFit="1" customWidth="1"/>
  </cols>
  <sheetData>
    <row r="1" spans="2:14" ht="9" customHeight="1" x14ac:dyDescent="0.25">
      <c r="B1" s="2"/>
      <c r="C1" s="2"/>
      <c r="D1" s="2"/>
      <c r="E1" s="2"/>
      <c r="F1" s="2"/>
      <c r="G1" s="2"/>
    </row>
    <row r="2" spans="2:14" ht="18.75" x14ac:dyDescent="0.25">
      <c r="B2" s="104" t="s">
        <v>300</v>
      </c>
      <c r="C2" s="104"/>
      <c r="D2" s="104"/>
      <c r="E2" s="104"/>
      <c r="F2" s="104"/>
      <c r="G2" s="104"/>
      <c r="H2" s="104"/>
      <c r="I2" s="104"/>
      <c r="J2" s="104"/>
      <c r="K2" s="104"/>
      <c r="L2" s="37"/>
      <c r="M2" s="37"/>
      <c r="N2" s="37"/>
    </row>
    <row r="3" spans="2:14" x14ac:dyDescent="0.25">
      <c r="B3" s="24" t="s">
        <v>279</v>
      </c>
      <c r="C3" s="25"/>
      <c r="D3" s="25"/>
      <c r="E3" s="25"/>
      <c r="I3" s="26" t="s">
        <v>296</v>
      </c>
      <c r="J3" s="105" t="s">
        <v>302</v>
      </c>
      <c r="K3" s="105"/>
    </row>
    <row r="4" spans="2:14" x14ac:dyDescent="0.25">
      <c r="B4" s="27" t="s">
        <v>280</v>
      </c>
      <c r="C4" s="25"/>
      <c r="D4" s="25"/>
      <c r="E4" s="25"/>
      <c r="I4" s="26" t="s">
        <v>281</v>
      </c>
      <c r="J4" s="106" t="s">
        <v>301</v>
      </c>
      <c r="K4" s="106"/>
    </row>
    <row r="5" spans="2:14" x14ac:dyDescent="0.25">
      <c r="B5" s="25"/>
      <c r="C5" s="25"/>
      <c r="D5" s="25"/>
      <c r="E5" s="25"/>
      <c r="I5" s="26" t="s">
        <v>282</v>
      </c>
      <c r="J5" s="107" t="s">
        <v>304</v>
      </c>
      <c r="K5" s="107"/>
    </row>
    <row r="6" spans="2:14" x14ac:dyDescent="0.25">
      <c r="B6" s="28" t="s">
        <v>283</v>
      </c>
      <c r="D6" s="29"/>
      <c r="E6" s="30"/>
      <c r="I6" s="26" t="s">
        <v>284</v>
      </c>
      <c r="J6" s="106" t="s">
        <v>285</v>
      </c>
      <c r="K6" s="106"/>
    </row>
    <row r="7" spans="2:14" x14ac:dyDescent="0.25">
      <c r="B7" s="28"/>
      <c r="D7" s="31"/>
      <c r="E7" s="30"/>
      <c r="F7"/>
      <c r="K7" s="26"/>
      <c r="M7" s="38"/>
      <c r="N7" s="38"/>
    </row>
    <row r="8" spans="2:14" x14ac:dyDescent="0.25">
      <c r="G8" s="39" t="s">
        <v>286</v>
      </c>
      <c r="H8" s="40" t="s">
        <v>287</v>
      </c>
      <c r="I8" s="40" t="s">
        <v>297</v>
      </c>
      <c r="J8" s="40" t="s">
        <v>298</v>
      </c>
      <c r="K8" s="40" t="s">
        <v>299</v>
      </c>
    </row>
    <row r="9" spans="2:14" x14ac:dyDescent="0.25">
      <c r="B9" s="32" t="s">
        <v>256</v>
      </c>
      <c r="C9" s="33"/>
      <c r="D9" s="33"/>
      <c r="E9" s="33"/>
      <c r="F9" s="34"/>
      <c r="G9" s="41"/>
      <c r="H9" s="72"/>
      <c r="I9" s="72"/>
      <c r="J9" s="72"/>
      <c r="K9" s="72"/>
    </row>
    <row r="10" spans="2:14" x14ac:dyDescent="0.25">
      <c r="B10" t="s">
        <v>44</v>
      </c>
      <c r="F10" s="35" t="s">
        <v>45</v>
      </c>
      <c r="G10" s="42">
        <v>120000</v>
      </c>
      <c r="H10" s="73">
        <v>120000</v>
      </c>
      <c r="I10" s="73">
        <v>120000</v>
      </c>
      <c r="J10" s="73">
        <v>120000</v>
      </c>
      <c r="K10" s="73">
        <v>120000</v>
      </c>
    </row>
    <row r="11" spans="2:14" x14ac:dyDescent="0.25">
      <c r="B11" t="s">
        <v>46</v>
      </c>
      <c r="F11" s="36" t="s">
        <v>48</v>
      </c>
      <c r="G11" s="43">
        <v>104</v>
      </c>
      <c r="H11" s="74">
        <v>104</v>
      </c>
      <c r="I11" s="74">
        <v>104</v>
      </c>
      <c r="J11" s="74">
        <v>104</v>
      </c>
      <c r="K11" s="74">
        <v>104</v>
      </c>
    </row>
    <row r="12" spans="2:14" x14ac:dyDescent="0.25">
      <c r="B12" t="s">
        <v>50</v>
      </c>
      <c r="F12" s="36" t="s">
        <v>48</v>
      </c>
      <c r="G12" s="44">
        <v>85.111109999999996</v>
      </c>
      <c r="H12" s="75">
        <v>85.111109999999996</v>
      </c>
      <c r="I12" s="75">
        <v>85.111109999999996</v>
      </c>
      <c r="J12" s="75">
        <v>85.111109999999996</v>
      </c>
      <c r="K12" s="75">
        <v>85.111109999999996</v>
      </c>
    </row>
    <row r="13" spans="2:14" x14ac:dyDescent="0.25">
      <c r="B13" t="s">
        <v>51</v>
      </c>
      <c r="F13" s="35" t="s">
        <v>288</v>
      </c>
      <c r="G13" s="43">
        <v>578</v>
      </c>
      <c r="H13" s="74">
        <v>578</v>
      </c>
      <c r="I13" s="74">
        <v>578</v>
      </c>
      <c r="J13" s="74">
        <v>578</v>
      </c>
      <c r="K13" s="74">
        <v>578</v>
      </c>
    </row>
    <row r="14" spans="2:14" x14ac:dyDescent="0.25">
      <c r="B14" t="s">
        <v>52</v>
      </c>
      <c r="F14" s="35" t="s">
        <v>53</v>
      </c>
      <c r="G14" s="43">
        <v>0.16</v>
      </c>
      <c r="H14" s="74">
        <v>0.16</v>
      </c>
      <c r="I14" s="74">
        <v>0.16</v>
      </c>
      <c r="J14" s="74">
        <v>0.16</v>
      </c>
      <c r="K14" s="74">
        <v>0.16</v>
      </c>
    </row>
    <row r="15" spans="2:14" x14ac:dyDescent="0.25">
      <c r="B15" t="s">
        <v>55</v>
      </c>
      <c r="F15" s="35" t="s">
        <v>289</v>
      </c>
      <c r="G15" s="43">
        <v>0.63</v>
      </c>
      <c r="H15" s="74">
        <v>0.63</v>
      </c>
      <c r="I15" s="74">
        <v>0.63</v>
      </c>
      <c r="J15" s="74">
        <v>0.63</v>
      </c>
      <c r="K15" s="74">
        <v>0.63</v>
      </c>
    </row>
    <row r="16" spans="2:14" x14ac:dyDescent="0.25">
      <c r="B16" t="s">
        <v>54</v>
      </c>
      <c r="F16" s="35" t="s">
        <v>290</v>
      </c>
      <c r="G16" s="43">
        <v>0.08</v>
      </c>
      <c r="H16" s="74">
        <v>0.08</v>
      </c>
      <c r="I16" s="74">
        <v>0.08</v>
      </c>
      <c r="J16" s="74">
        <v>0.08</v>
      </c>
      <c r="K16" s="74">
        <v>0.08</v>
      </c>
    </row>
    <row r="17" spans="2:11" x14ac:dyDescent="0.25">
      <c r="B17" t="s">
        <v>56</v>
      </c>
      <c r="F17" s="35" t="s">
        <v>53</v>
      </c>
      <c r="G17" s="43">
        <v>0.16</v>
      </c>
      <c r="H17" s="74">
        <v>0.16</v>
      </c>
      <c r="I17" s="74">
        <v>0.16</v>
      </c>
      <c r="J17" s="74">
        <v>0.16</v>
      </c>
      <c r="K17" s="74">
        <v>0.16</v>
      </c>
    </row>
    <row r="18" spans="2:11" x14ac:dyDescent="0.25">
      <c r="B18" t="s">
        <v>57</v>
      </c>
      <c r="F18" s="35" t="s">
        <v>58</v>
      </c>
      <c r="G18" s="43">
        <v>0.5</v>
      </c>
      <c r="H18" s="74">
        <v>0.5</v>
      </c>
      <c r="I18" s="74">
        <v>0.5</v>
      </c>
      <c r="J18" s="74">
        <v>0.5</v>
      </c>
      <c r="K18" s="74">
        <v>0.5</v>
      </c>
    </row>
    <row r="19" spans="2:11" x14ac:dyDescent="0.25">
      <c r="B19" t="s">
        <v>59</v>
      </c>
      <c r="F19" s="35" t="s">
        <v>291</v>
      </c>
      <c r="G19" s="43">
        <v>4.0000000000000002E-4</v>
      </c>
      <c r="H19" s="74">
        <v>4.0000000000000002E-4</v>
      </c>
      <c r="I19" s="74">
        <v>4.0000000000000002E-4</v>
      </c>
      <c r="J19" s="74">
        <v>4.0000000000000002E-4</v>
      </c>
      <c r="K19" s="74">
        <v>4.0000000000000002E-4</v>
      </c>
    </row>
    <row r="20" spans="2:11" x14ac:dyDescent="0.25">
      <c r="G20" s="41"/>
      <c r="H20" s="72"/>
      <c r="I20" s="72"/>
      <c r="J20" s="72"/>
      <c r="K20" s="72"/>
    </row>
    <row r="21" spans="2:11" x14ac:dyDescent="0.25">
      <c r="B21" s="32" t="s">
        <v>257</v>
      </c>
      <c r="C21" s="33"/>
      <c r="D21" s="33"/>
      <c r="E21" s="33"/>
      <c r="F21" s="34"/>
      <c r="G21" s="41"/>
      <c r="H21" s="72"/>
      <c r="I21" s="72"/>
      <c r="J21" s="72"/>
      <c r="K21" s="72"/>
    </row>
    <row r="22" spans="2:11" x14ac:dyDescent="0.25">
      <c r="B22" t="s">
        <v>44</v>
      </c>
      <c r="F22" s="35" t="s">
        <v>45</v>
      </c>
      <c r="G22" s="42">
        <v>140000</v>
      </c>
      <c r="H22" s="73">
        <v>140000</v>
      </c>
      <c r="I22" s="73">
        <v>140000</v>
      </c>
      <c r="J22" s="73">
        <v>140000</v>
      </c>
      <c r="K22" s="73">
        <v>140000</v>
      </c>
    </row>
    <row r="23" spans="2:11" x14ac:dyDescent="0.25">
      <c r="B23" t="s">
        <v>46</v>
      </c>
      <c r="F23" s="36" t="s">
        <v>48</v>
      </c>
      <c r="G23" s="43">
        <v>40</v>
      </c>
      <c r="H23" s="74">
        <v>40</v>
      </c>
      <c r="I23" s="74">
        <v>40</v>
      </c>
      <c r="J23" s="74">
        <v>40</v>
      </c>
      <c r="K23" s="74">
        <v>40</v>
      </c>
    </row>
    <row r="24" spans="2:11" x14ac:dyDescent="0.25">
      <c r="B24" t="s">
        <v>50</v>
      </c>
      <c r="F24" s="36" t="s">
        <v>48</v>
      </c>
      <c r="G24" s="45">
        <f>G23+G10*G15/(G22*G27)*(G11-G12)</f>
        <v>60.00000117647059</v>
      </c>
      <c r="H24" s="76">
        <f>H23+H10*H15/(H22*H27)*(H11-H12)</f>
        <v>60.00000117647059</v>
      </c>
      <c r="I24" s="76">
        <f t="shared" ref="I24:K24" si="0">I23+I10*I15/(I22*I27)*(I11-I12)</f>
        <v>60.00000117647059</v>
      </c>
      <c r="J24" s="76">
        <f t="shared" si="0"/>
        <v>60.00000117647059</v>
      </c>
      <c r="K24" s="76">
        <f t="shared" si="0"/>
        <v>60.00000117647059</v>
      </c>
    </row>
    <row r="25" spans="2:11" x14ac:dyDescent="0.25">
      <c r="B25" t="s">
        <v>51</v>
      </c>
      <c r="F25" s="35" t="s">
        <v>288</v>
      </c>
      <c r="G25" s="43">
        <v>716</v>
      </c>
      <c r="H25" s="74">
        <v>716</v>
      </c>
      <c r="I25" s="74">
        <v>716</v>
      </c>
      <c r="J25" s="74">
        <v>716</v>
      </c>
      <c r="K25" s="74">
        <v>716</v>
      </c>
    </row>
    <row r="26" spans="2:11" x14ac:dyDescent="0.25">
      <c r="B26" t="s">
        <v>52</v>
      </c>
      <c r="F26" s="35" t="s">
        <v>53</v>
      </c>
      <c r="G26" s="43">
        <v>0.62</v>
      </c>
      <c r="H26" s="74">
        <v>0.62</v>
      </c>
      <c r="I26" s="74">
        <v>0.62</v>
      </c>
      <c r="J26" s="74">
        <v>0.62</v>
      </c>
      <c r="K26" s="74">
        <v>0.62</v>
      </c>
    </row>
    <row r="27" spans="2:11" x14ac:dyDescent="0.25">
      <c r="B27" t="s">
        <v>55</v>
      </c>
      <c r="F27" s="35" t="s">
        <v>289</v>
      </c>
      <c r="G27" s="43">
        <v>0.51</v>
      </c>
      <c r="H27" s="74">
        <v>0.51</v>
      </c>
      <c r="I27" s="74">
        <v>0.51</v>
      </c>
      <c r="J27" s="74">
        <v>0.51</v>
      </c>
      <c r="K27" s="74">
        <v>0.51</v>
      </c>
    </row>
    <row r="28" spans="2:11" x14ac:dyDescent="0.25">
      <c r="B28" t="s">
        <v>54</v>
      </c>
      <c r="F28" s="35" t="s">
        <v>290</v>
      </c>
      <c r="G28" s="43">
        <v>0.11</v>
      </c>
      <c r="H28" s="74">
        <v>0.11</v>
      </c>
      <c r="I28" s="74">
        <v>0.11</v>
      </c>
      <c r="J28" s="74">
        <v>0.11</v>
      </c>
      <c r="K28" s="74">
        <v>0.11</v>
      </c>
    </row>
    <row r="29" spans="2:11" x14ac:dyDescent="0.25">
      <c r="B29" t="s">
        <v>56</v>
      </c>
      <c r="F29" s="35" t="s">
        <v>53</v>
      </c>
      <c r="G29" s="43">
        <v>0.59</v>
      </c>
      <c r="H29" s="74">
        <v>0.59</v>
      </c>
      <c r="I29" s="74">
        <v>0.59</v>
      </c>
      <c r="J29" s="74">
        <v>0.59</v>
      </c>
      <c r="K29" s="74">
        <v>0.59</v>
      </c>
    </row>
    <row r="30" spans="2:11" x14ac:dyDescent="0.25">
      <c r="B30" t="s">
        <v>57</v>
      </c>
      <c r="F30" s="35" t="s">
        <v>58</v>
      </c>
      <c r="G30" s="43">
        <v>0.5</v>
      </c>
      <c r="H30" s="74">
        <v>0.5</v>
      </c>
      <c r="I30" s="74">
        <v>0.5</v>
      </c>
      <c r="J30" s="74">
        <v>0.5</v>
      </c>
      <c r="K30" s="74">
        <v>0.5</v>
      </c>
    </row>
    <row r="31" spans="2:11" x14ac:dyDescent="0.25">
      <c r="B31" t="s">
        <v>59</v>
      </c>
      <c r="F31" s="35" t="s">
        <v>291</v>
      </c>
      <c r="G31" s="43">
        <v>5.0000000000000001E-4</v>
      </c>
      <c r="H31" s="74">
        <v>5.0000000000000001E-4</v>
      </c>
      <c r="I31" s="74">
        <v>5.0000000000000001E-4</v>
      </c>
      <c r="J31" s="74">
        <v>5.0000000000000001E-4</v>
      </c>
      <c r="K31" s="74">
        <v>5.0000000000000001E-4</v>
      </c>
    </row>
    <row r="32" spans="2:11" x14ac:dyDescent="0.25">
      <c r="G32" s="41"/>
      <c r="H32" s="72"/>
      <c r="I32" s="72"/>
      <c r="J32" s="72"/>
      <c r="K32" s="72"/>
    </row>
    <row r="33" spans="2:12" x14ac:dyDescent="0.25">
      <c r="B33" t="s">
        <v>258</v>
      </c>
      <c r="G33" s="46" t="s">
        <v>259</v>
      </c>
      <c r="H33" s="77" t="s">
        <v>259</v>
      </c>
      <c r="I33" s="77" t="s">
        <v>259</v>
      </c>
      <c r="J33" s="77" t="s">
        <v>259</v>
      </c>
      <c r="K33" s="77" t="s">
        <v>259</v>
      </c>
    </row>
    <row r="34" spans="2:12" x14ac:dyDescent="0.25">
      <c r="G34" s="47"/>
      <c r="H34" s="78"/>
      <c r="I34" s="78"/>
      <c r="J34" s="78"/>
      <c r="K34" s="78"/>
    </row>
    <row r="35" spans="2:12" x14ac:dyDescent="0.25">
      <c r="B35" s="23" t="s">
        <v>63</v>
      </c>
      <c r="G35" s="41"/>
      <c r="H35" s="79"/>
      <c r="I35" s="79"/>
      <c r="J35" s="79"/>
      <c r="K35" s="79"/>
    </row>
    <row r="36" spans="2:12" x14ac:dyDescent="0.25">
      <c r="B36" s="32" t="s">
        <v>1</v>
      </c>
      <c r="C36" s="33"/>
      <c r="D36" s="33"/>
      <c r="E36" s="33"/>
      <c r="F36" s="34"/>
      <c r="G36" s="41"/>
      <c r="H36" s="79"/>
      <c r="I36" s="79"/>
      <c r="J36" s="79"/>
      <c r="K36" s="79"/>
    </row>
    <row r="37" spans="2:12" x14ac:dyDescent="0.25">
      <c r="B37" t="s">
        <v>17</v>
      </c>
      <c r="E37" t="s">
        <v>15</v>
      </c>
      <c r="G37" s="42">
        <v>2</v>
      </c>
      <c r="H37" s="73">
        <v>2</v>
      </c>
      <c r="I37" s="73">
        <v>2</v>
      </c>
      <c r="J37" s="73">
        <v>2</v>
      </c>
      <c r="K37" s="73">
        <v>2</v>
      </c>
    </row>
    <row r="38" spans="2:12" x14ac:dyDescent="0.25">
      <c r="B38" t="s">
        <v>0</v>
      </c>
      <c r="E38" t="s">
        <v>114</v>
      </c>
      <c r="G38" s="43">
        <v>414</v>
      </c>
      <c r="H38" s="74">
        <v>414</v>
      </c>
      <c r="I38" s="74">
        <v>414</v>
      </c>
      <c r="J38" s="74">
        <v>414</v>
      </c>
      <c r="K38" s="74">
        <v>414</v>
      </c>
    </row>
    <row r="39" spans="2:12" x14ac:dyDescent="0.25">
      <c r="B39" t="s">
        <v>19</v>
      </c>
      <c r="E39" t="s">
        <v>20</v>
      </c>
      <c r="F39" s="35" t="s">
        <v>21</v>
      </c>
      <c r="G39" s="43">
        <v>4.2670000000000003</v>
      </c>
      <c r="H39" s="74">
        <v>4</v>
      </c>
      <c r="I39" s="74">
        <v>4.0999999999999996</v>
      </c>
      <c r="J39" s="74">
        <v>4.2</v>
      </c>
      <c r="K39" s="74">
        <v>5</v>
      </c>
    </row>
    <row r="40" spans="2:12" x14ac:dyDescent="0.25">
      <c r="B40" t="s">
        <v>4</v>
      </c>
      <c r="E40" t="s">
        <v>113</v>
      </c>
      <c r="F40" s="35" t="s">
        <v>5</v>
      </c>
      <c r="G40" s="43">
        <v>19.05</v>
      </c>
      <c r="H40" s="74">
        <v>19.05</v>
      </c>
      <c r="I40" s="74">
        <v>19.05</v>
      </c>
      <c r="J40" s="74">
        <v>19.05</v>
      </c>
      <c r="K40" s="74">
        <v>19.05</v>
      </c>
    </row>
    <row r="41" spans="2:12" x14ac:dyDescent="0.25">
      <c r="B41" t="s">
        <v>6</v>
      </c>
      <c r="E41" t="s">
        <v>14</v>
      </c>
      <c r="F41" s="35" t="s">
        <v>7</v>
      </c>
      <c r="G41" s="43">
        <v>14</v>
      </c>
      <c r="H41" s="74">
        <v>14</v>
      </c>
      <c r="I41" s="74">
        <v>14</v>
      </c>
      <c r="J41" s="74">
        <v>14</v>
      </c>
      <c r="K41" s="74">
        <v>14</v>
      </c>
    </row>
    <row r="42" spans="2:12" x14ac:dyDescent="0.25">
      <c r="F42" s="35" t="s">
        <v>5</v>
      </c>
      <c r="G42" s="48">
        <f>VLOOKUP(G41,$D$245:$F$259,3)</f>
        <v>2.1080000000000001</v>
      </c>
      <c r="H42" s="80">
        <f>VLOOKUP(H41,$D$245:$F$259,3)</f>
        <v>2.1080000000000001</v>
      </c>
      <c r="I42" s="80">
        <f>VLOOKUP(I41,$D$245:$F$259,3)</f>
        <v>2.1080000000000001</v>
      </c>
      <c r="J42" s="80">
        <f>VLOOKUP(J41,$D$245:$F$259,3)</f>
        <v>2.1080000000000001</v>
      </c>
      <c r="K42" s="80">
        <f>VLOOKUP(K41,$D$245:$F$259,3)</f>
        <v>2.1080000000000001</v>
      </c>
    </row>
    <row r="43" spans="2:12" x14ac:dyDescent="0.25">
      <c r="B43" t="s">
        <v>10</v>
      </c>
      <c r="E43" t="s">
        <v>115</v>
      </c>
      <c r="F43" s="35" t="s">
        <v>5</v>
      </c>
      <c r="G43" s="49">
        <f>G40-2*G42</f>
        <v>14.834</v>
      </c>
      <c r="H43" s="81">
        <f>H40-2*H42</f>
        <v>14.834</v>
      </c>
      <c r="I43" s="81">
        <f t="shared" ref="I43:K43" si="1">I40-2*I42</f>
        <v>14.834</v>
      </c>
      <c r="J43" s="81">
        <f t="shared" si="1"/>
        <v>14.834</v>
      </c>
      <c r="K43" s="81">
        <f t="shared" si="1"/>
        <v>14.834</v>
      </c>
    </row>
    <row r="44" spans="2:12" x14ac:dyDescent="0.25">
      <c r="B44" t="s">
        <v>11</v>
      </c>
      <c r="F44" s="35"/>
      <c r="G44" s="50">
        <v>30</v>
      </c>
      <c r="H44" s="82">
        <v>30</v>
      </c>
      <c r="I44" s="82">
        <v>30</v>
      </c>
      <c r="J44" s="82">
        <v>30</v>
      </c>
      <c r="K44" s="82">
        <v>30</v>
      </c>
      <c r="L44" s="6"/>
    </row>
    <row r="45" spans="2:12" x14ac:dyDescent="0.25">
      <c r="B45" t="s">
        <v>13</v>
      </c>
      <c r="F45" s="35"/>
      <c r="G45" s="43">
        <v>1.25</v>
      </c>
      <c r="H45" s="74">
        <v>1.25</v>
      </c>
      <c r="I45" s="74">
        <v>1.25</v>
      </c>
      <c r="J45" s="74">
        <v>1.25</v>
      </c>
      <c r="K45" s="74">
        <v>1.25</v>
      </c>
    </row>
    <row r="46" spans="2:12" x14ac:dyDescent="0.25">
      <c r="B46" t="s">
        <v>12</v>
      </c>
      <c r="F46" s="35" t="s">
        <v>5</v>
      </c>
      <c r="G46" s="51">
        <f>G45*G40</f>
        <v>23.8125</v>
      </c>
      <c r="H46" s="83">
        <f>H45*H40</f>
        <v>23.8125</v>
      </c>
      <c r="I46" s="83">
        <f t="shared" ref="I46:K46" si="2">I45*I40</f>
        <v>23.8125</v>
      </c>
      <c r="J46" s="83">
        <f t="shared" si="2"/>
        <v>23.8125</v>
      </c>
      <c r="K46" s="83">
        <f t="shared" si="2"/>
        <v>23.8125</v>
      </c>
    </row>
    <row r="47" spans="2:12" x14ac:dyDescent="0.25">
      <c r="B47" t="s">
        <v>225</v>
      </c>
      <c r="G47" s="52" t="s">
        <v>219</v>
      </c>
      <c r="H47" s="84" t="s">
        <v>219</v>
      </c>
      <c r="I47" s="84" t="s">
        <v>219</v>
      </c>
      <c r="J47" s="84" t="s">
        <v>219</v>
      </c>
      <c r="K47" s="84" t="s">
        <v>219</v>
      </c>
    </row>
    <row r="48" spans="2:12" x14ac:dyDescent="0.25">
      <c r="G48" s="102"/>
      <c r="H48" s="103"/>
      <c r="I48" s="103"/>
      <c r="J48" s="103"/>
      <c r="K48" s="103"/>
    </row>
    <row r="49" spans="2:11" x14ac:dyDescent="0.25">
      <c r="G49" s="102"/>
      <c r="H49" s="103"/>
      <c r="I49" s="103"/>
      <c r="J49" s="103"/>
      <c r="K49" s="103"/>
    </row>
    <row r="50" spans="2:11" x14ac:dyDescent="0.25">
      <c r="G50" s="41"/>
      <c r="H50" s="79"/>
      <c r="I50" s="79"/>
      <c r="J50" s="79"/>
      <c r="K50" s="79"/>
    </row>
    <row r="51" spans="2:11" x14ac:dyDescent="0.25">
      <c r="B51" s="32" t="s">
        <v>16</v>
      </c>
      <c r="C51" s="33"/>
      <c r="D51" s="33"/>
      <c r="E51" s="33"/>
      <c r="F51" s="34"/>
      <c r="G51" s="41"/>
      <c r="H51" s="79"/>
      <c r="I51" s="79"/>
      <c r="J51" s="79"/>
      <c r="K51" s="79"/>
    </row>
    <row r="52" spans="2:11" x14ac:dyDescent="0.25">
      <c r="B52" t="s">
        <v>17</v>
      </c>
      <c r="E52" t="s">
        <v>18</v>
      </c>
      <c r="G52" s="42">
        <v>1</v>
      </c>
      <c r="H52" s="73">
        <v>1</v>
      </c>
      <c r="I52" s="73">
        <v>1</v>
      </c>
      <c r="J52" s="73">
        <v>1</v>
      </c>
      <c r="K52" s="73">
        <v>1</v>
      </c>
    </row>
    <row r="53" spans="2:11" x14ac:dyDescent="0.25">
      <c r="B53" t="s">
        <v>22</v>
      </c>
      <c r="E53" t="s">
        <v>23</v>
      </c>
      <c r="F53" s="35" t="s">
        <v>5</v>
      </c>
      <c r="G53" s="43">
        <v>609</v>
      </c>
      <c r="H53" s="74">
        <v>609</v>
      </c>
      <c r="I53" s="74">
        <v>609</v>
      </c>
      <c r="J53" s="74">
        <v>609</v>
      </c>
      <c r="K53" s="74">
        <v>609</v>
      </c>
    </row>
    <row r="54" spans="2:11" ht="18.75" x14ac:dyDescent="0.35">
      <c r="B54" t="s">
        <v>74</v>
      </c>
      <c r="E54" s="5" t="s">
        <v>73</v>
      </c>
      <c r="F54" s="35" t="s">
        <v>5</v>
      </c>
      <c r="G54" s="44">
        <f>12.5+G53/200</f>
        <v>15.545</v>
      </c>
      <c r="H54" s="75">
        <f>12.5+H53/200</f>
        <v>15.545</v>
      </c>
      <c r="I54" s="75">
        <f t="shared" ref="I54:K54" si="3">12.5+I53/200</f>
        <v>15.545</v>
      </c>
      <c r="J54" s="75">
        <f t="shared" si="3"/>
        <v>15.545</v>
      </c>
      <c r="K54" s="75">
        <f t="shared" si="3"/>
        <v>15.545</v>
      </c>
    </row>
    <row r="55" spans="2:11" ht="18.75" x14ac:dyDescent="0.35">
      <c r="B55" t="s">
        <v>24</v>
      </c>
      <c r="E55" t="s">
        <v>25</v>
      </c>
      <c r="F55" s="35" t="s">
        <v>5</v>
      </c>
      <c r="G55" s="45">
        <f>G53-G54</f>
        <v>593.45500000000004</v>
      </c>
      <c r="H55" s="76">
        <f>H53-H54</f>
        <v>593.45500000000004</v>
      </c>
      <c r="I55" s="76">
        <f t="shared" ref="I55:K55" si="4">I53-I54</f>
        <v>593.45500000000004</v>
      </c>
      <c r="J55" s="76">
        <f t="shared" si="4"/>
        <v>593.45500000000004</v>
      </c>
      <c r="K55" s="76">
        <f t="shared" si="4"/>
        <v>593.45500000000004</v>
      </c>
    </row>
    <row r="56" spans="2:11" ht="18.75" x14ac:dyDescent="0.35">
      <c r="B56" t="s">
        <v>28</v>
      </c>
      <c r="E56" t="s">
        <v>29</v>
      </c>
      <c r="F56" s="35" t="s">
        <v>5</v>
      </c>
      <c r="G56" s="43">
        <v>234</v>
      </c>
      <c r="H56" s="74">
        <v>234</v>
      </c>
      <c r="I56" s="74">
        <v>234</v>
      </c>
      <c r="J56" s="74">
        <v>234</v>
      </c>
      <c r="K56" s="74">
        <v>234</v>
      </c>
    </row>
    <row r="57" spans="2:11" ht="18.75" x14ac:dyDescent="0.35">
      <c r="B57" t="s">
        <v>26</v>
      </c>
      <c r="E57" t="s">
        <v>30</v>
      </c>
      <c r="F57" s="35" t="s">
        <v>5</v>
      </c>
      <c r="G57" s="43">
        <v>234</v>
      </c>
      <c r="H57" s="74">
        <v>234</v>
      </c>
      <c r="I57" s="74">
        <v>234</v>
      </c>
      <c r="J57" s="74">
        <v>234</v>
      </c>
      <c r="K57" s="74">
        <v>234</v>
      </c>
    </row>
    <row r="58" spans="2:11" ht="18.75" x14ac:dyDescent="0.35">
      <c r="B58" t="s">
        <v>27</v>
      </c>
      <c r="E58" t="s">
        <v>31</v>
      </c>
      <c r="F58" s="35" t="s">
        <v>5</v>
      </c>
      <c r="G58" s="43">
        <v>234</v>
      </c>
      <c r="H58" s="74">
        <v>234</v>
      </c>
      <c r="I58" s="74">
        <v>234</v>
      </c>
      <c r="J58" s="74">
        <v>234</v>
      </c>
      <c r="K58" s="74">
        <v>234</v>
      </c>
    </row>
    <row r="59" spans="2:11" x14ac:dyDescent="0.25">
      <c r="B59" t="s">
        <v>33</v>
      </c>
      <c r="E59" t="s">
        <v>32</v>
      </c>
      <c r="F59" s="35" t="s">
        <v>34</v>
      </c>
      <c r="G59" s="43">
        <v>25</v>
      </c>
      <c r="H59" s="74">
        <v>25</v>
      </c>
      <c r="I59" s="74">
        <v>25</v>
      </c>
      <c r="J59" s="74">
        <v>25</v>
      </c>
      <c r="K59" s="74">
        <v>25</v>
      </c>
    </row>
    <row r="60" spans="2:11" x14ac:dyDescent="0.25">
      <c r="B60" t="s">
        <v>35</v>
      </c>
      <c r="E60" t="s">
        <v>36</v>
      </c>
      <c r="F60" s="35" t="s">
        <v>5</v>
      </c>
      <c r="G60" s="53">
        <f>G59/100*G53</f>
        <v>152.25</v>
      </c>
      <c r="H60" s="85">
        <f>H59/100*H53</f>
        <v>152.25</v>
      </c>
      <c r="I60" s="85">
        <f t="shared" ref="I60:K60" si="5">I59/100*I53</f>
        <v>152.25</v>
      </c>
      <c r="J60" s="85">
        <f t="shared" si="5"/>
        <v>152.25</v>
      </c>
      <c r="K60" s="85">
        <f t="shared" si="5"/>
        <v>152.25</v>
      </c>
    </row>
    <row r="61" spans="2:11" ht="18.75" x14ac:dyDescent="0.35">
      <c r="B61" t="s">
        <v>37</v>
      </c>
      <c r="E61" t="s">
        <v>38</v>
      </c>
      <c r="F61" s="35" t="s">
        <v>5</v>
      </c>
      <c r="G61" s="45">
        <f>3.1+0.004*G53</f>
        <v>5.5359999999999996</v>
      </c>
      <c r="H61" s="76">
        <f>3.1+0.004*H53</f>
        <v>5.5359999999999996</v>
      </c>
      <c r="I61" s="76">
        <f t="shared" ref="I61:K61" si="6">3.1+0.004*I53</f>
        <v>5.5359999999999996</v>
      </c>
      <c r="J61" s="76">
        <f t="shared" si="6"/>
        <v>5.5359999999999996</v>
      </c>
      <c r="K61" s="76">
        <f t="shared" si="6"/>
        <v>5.5359999999999996</v>
      </c>
    </row>
    <row r="62" spans="2:11" x14ac:dyDescent="0.25">
      <c r="B62" t="s">
        <v>39</v>
      </c>
      <c r="E62" t="s">
        <v>40</v>
      </c>
      <c r="F62" s="35"/>
      <c r="G62" s="43">
        <v>2</v>
      </c>
      <c r="H62" s="74">
        <v>2</v>
      </c>
      <c r="I62" s="74">
        <v>2</v>
      </c>
      <c r="J62" s="74">
        <v>2</v>
      </c>
      <c r="K62" s="74">
        <v>2</v>
      </c>
    </row>
    <row r="63" spans="2:11" ht="18.75" x14ac:dyDescent="0.35">
      <c r="B63" t="s">
        <v>109</v>
      </c>
      <c r="E63" t="s">
        <v>110</v>
      </c>
      <c r="F63" s="35" t="s">
        <v>5</v>
      </c>
      <c r="G63" s="43">
        <v>0.4</v>
      </c>
      <c r="H63" s="74">
        <v>0.4</v>
      </c>
      <c r="I63" s="74">
        <v>0.4</v>
      </c>
      <c r="J63" s="74">
        <v>0.4</v>
      </c>
      <c r="K63" s="74">
        <v>0.4</v>
      </c>
    </row>
    <row r="64" spans="2:11" ht="18.75" x14ac:dyDescent="0.35">
      <c r="B64" t="s">
        <v>41</v>
      </c>
      <c r="E64" t="s">
        <v>42</v>
      </c>
      <c r="F64" s="35" t="s">
        <v>5</v>
      </c>
      <c r="G64" s="54">
        <f>0.1*G53</f>
        <v>60.900000000000006</v>
      </c>
      <c r="H64" s="79">
        <f>0.1*H53</f>
        <v>60.900000000000006</v>
      </c>
      <c r="I64" s="79">
        <f t="shared" ref="I64:K64" si="7">0.1*I53</f>
        <v>60.900000000000006</v>
      </c>
      <c r="J64" s="79">
        <f t="shared" si="7"/>
        <v>60.900000000000006</v>
      </c>
      <c r="K64" s="79">
        <f t="shared" si="7"/>
        <v>60.900000000000006</v>
      </c>
    </row>
    <row r="65" spans="2:11" x14ac:dyDescent="0.25">
      <c r="G65" s="54"/>
      <c r="H65" s="79"/>
      <c r="I65" s="79"/>
      <c r="J65" s="79"/>
      <c r="K65" s="79"/>
    </row>
    <row r="66" spans="2:11" x14ac:dyDescent="0.25">
      <c r="B66" s="32" t="s">
        <v>264</v>
      </c>
      <c r="C66" s="33"/>
      <c r="D66" s="33"/>
      <c r="E66" s="33"/>
      <c r="F66" s="34"/>
      <c r="G66" s="54"/>
      <c r="H66" s="79"/>
      <c r="I66" s="79"/>
      <c r="J66" s="79"/>
      <c r="K66" s="79"/>
    </row>
    <row r="67" spans="2:11" x14ac:dyDescent="0.25">
      <c r="B67" t="s">
        <v>265</v>
      </c>
      <c r="E67" t="s">
        <v>239</v>
      </c>
      <c r="F67" s="36" t="s">
        <v>48</v>
      </c>
      <c r="G67" s="55">
        <f>G224</f>
        <v>44.553243777564759</v>
      </c>
      <c r="H67" s="86">
        <f>H224</f>
        <v>44.553243777564759</v>
      </c>
      <c r="I67" s="86">
        <f t="shared" ref="I67:K67" si="8">I224</f>
        <v>44.553243777564759</v>
      </c>
      <c r="J67" s="86">
        <f t="shared" si="8"/>
        <v>44.553243777564759</v>
      </c>
      <c r="K67" s="86">
        <f t="shared" si="8"/>
        <v>44.553243777564759</v>
      </c>
    </row>
    <row r="68" spans="2:11" x14ac:dyDescent="0.25">
      <c r="B68" t="s">
        <v>266</v>
      </c>
      <c r="E68" t="s">
        <v>251</v>
      </c>
      <c r="F68" s="35"/>
      <c r="G68" s="56">
        <f>G228</f>
        <v>0.96743174031085855</v>
      </c>
      <c r="H68" s="87">
        <f>H228</f>
        <v>0.96743174031085855</v>
      </c>
      <c r="I68" s="87">
        <f t="shared" ref="I68:K68" si="9">I228</f>
        <v>0.96743174031085855</v>
      </c>
      <c r="J68" s="87">
        <f t="shared" si="9"/>
        <v>0.96743174031085855</v>
      </c>
      <c r="K68" s="87">
        <f t="shared" si="9"/>
        <v>0.96743174031085855</v>
      </c>
    </row>
    <row r="69" spans="2:11" x14ac:dyDescent="0.25">
      <c r="B69" t="s">
        <v>267</v>
      </c>
      <c r="F69" s="36" t="s">
        <v>48</v>
      </c>
      <c r="G69" s="57">
        <f>G229</f>
        <v>43.102222164223406</v>
      </c>
      <c r="H69" s="88">
        <f>H229</f>
        <v>43.102222164223406</v>
      </c>
      <c r="I69" s="88">
        <f t="shared" ref="I69:K69" si="10">I229</f>
        <v>43.102222164223406</v>
      </c>
      <c r="J69" s="88">
        <f t="shared" si="10"/>
        <v>43.102222164223406</v>
      </c>
      <c r="K69" s="88">
        <f t="shared" si="10"/>
        <v>43.102222164223406</v>
      </c>
    </row>
    <row r="70" spans="2:11" x14ac:dyDescent="0.25">
      <c r="B70" t="s">
        <v>242</v>
      </c>
      <c r="E70" t="s">
        <v>268</v>
      </c>
      <c r="F70" s="35" t="s">
        <v>243</v>
      </c>
      <c r="G70" s="58">
        <f>G232</f>
        <v>1428000.0840000003</v>
      </c>
      <c r="H70" s="89">
        <f>H232</f>
        <v>1428000.0840000003</v>
      </c>
      <c r="I70" s="89">
        <f t="shared" ref="I70:K70" si="11">I232</f>
        <v>1428000.0840000003</v>
      </c>
      <c r="J70" s="89">
        <f t="shared" si="11"/>
        <v>1428000.0840000003</v>
      </c>
      <c r="K70" s="89">
        <f t="shared" si="11"/>
        <v>1428000.0840000003</v>
      </c>
    </row>
    <row r="71" spans="2:11" ht="18.75" x14ac:dyDescent="0.35">
      <c r="B71" t="s">
        <v>269</v>
      </c>
      <c r="E71" t="s">
        <v>270</v>
      </c>
      <c r="F71" s="36" t="s">
        <v>48</v>
      </c>
      <c r="G71" s="57">
        <f>G175</f>
        <v>77.659244966570995</v>
      </c>
      <c r="H71" s="88">
        <f>H175</f>
        <v>77.659244966570995</v>
      </c>
      <c r="I71" s="88">
        <f t="shared" ref="I71:K71" si="12">I175</f>
        <v>77.659244966570995</v>
      </c>
      <c r="J71" s="88">
        <f t="shared" si="12"/>
        <v>77.659244966570995</v>
      </c>
      <c r="K71" s="88">
        <f t="shared" si="12"/>
        <v>77.659244966570995</v>
      </c>
    </row>
    <row r="72" spans="2:11" ht="18.75" x14ac:dyDescent="0.35">
      <c r="B72" t="s">
        <v>272</v>
      </c>
      <c r="E72" t="s">
        <v>271</v>
      </c>
      <c r="F72" s="35" t="s">
        <v>292</v>
      </c>
      <c r="G72" s="57">
        <f>G233</f>
        <v>73.988246762613784</v>
      </c>
      <c r="H72" s="88">
        <f>H233</f>
        <v>73.988246762613784</v>
      </c>
      <c r="I72" s="88">
        <f t="shared" ref="I72:K72" si="13">I233</f>
        <v>73.988246762613784</v>
      </c>
      <c r="J72" s="88">
        <f t="shared" si="13"/>
        <v>73.988246762613784</v>
      </c>
      <c r="K72" s="88">
        <f t="shared" si="13"/>
        <v>73.988246762613784</v>
      </c>
    </row>
    <row r="73" spans="2:11" ht="18.75" x14ac:dyDescent="0.35">
      <c r="B73" t="s">
        <v>273</v>
      </c>
      <c r="E73" t="s">
        <v>274</v>
      </c>
      <c r="F73" s="35" t="s">
        <v>292</v>
      </c>
      <c r="G73" s="57">
        <f>G234</f>
        <v>102.70478630727737</v>
      </c>
      <c r="H73" s="88">
        <f>H234</f>
        <v>96.089381032732575</v>
      </c>
      <c r="I73" s="88">
        <f t="shared" ref="I73:K73" si="14">I234</f>
        <v>98.567060910839231</v>
      </c>
      <c r="J73" s="88">
        <f t="shared" si="14"/>
        <v>101.04474078894589</v>
      </c>
      <c r="K73" s="88">
        <f t="shared" si="14"/>
        <v>120.86617981379919</v>
      </c>
    </row>
    <row r="74" spans="2:11" ht="18.75" x14ac:dyDescent="0.35">
      <c r="B74" t="s">
        <v>275</v>
      </c>
      <c r="E74" t="s">
        <v>231</v>
      </c>
      <c r="F74" s="35" t="s">
        <v>293</v>
      </c>
      <c r="G74" s="57">
        <f>G178</f>
        <v>750.05607224121025</v>
      </c>
      <c r="H74" s="88">
        <f>H178</f>
        <v>750.05607224121025</v>
      </c>
      <c r="I74" s="88">
        <f t="shared" ref="I74:K74" si="15">I178</f>
        <v>750.05607224121025</v>
      </c>
      <c r="J74" s="88">
        <f t="shared" si="15"/>
        <v>750.05607224121025</v>
      </c>
      <c r="K74" s="88">
        <f t="shared" si="15"/>
        <v>750.05607224121025</v>
      </c>
    </row>
    <row r="75" spans="2:11" ht="18.75" x14ac:dyDescent="0.35">
      <c r="E75" t="s">
        <v>233</v>
      </c>
      <c r="F75" s="35" t="s">
        <v>293</v>
      </c>
      <c r="G75" s="57">
        <f>G179</f>
        <v>447.78117907842142</v>
      </c>
      <c r="H75" s="88">
        <f>H179</f>
        <v>447.78117907842142</v>
      </c>
      <c r="I75" s="88">
        <f t="shared" ref="I75:K75" si="16">I179</f>
        <v>447.78117907842142</v>
      </c>
      <c r="J75" s="88">
        <f t="shared" si="16"/>
        <v>447.78117907842142</v>
      </c>
      <c r="K75" s="88">
        <f t="shared" si="16"/>
        <v>447.78117907842142</v>
      </c>
    </row>
    <row r="76" spans="2:11" ht="18.75" x14ac:dyDescent="0.35">
      <c r="E76" t="s">
        <v>276</v>
      </c>
      <c r="F76" s="35" t="s">
        <v>293</v>
      </c>
      <c r="G76" s="57">
        <f t="shared" ref="G76:H78" si="17">G235</f>
        <v>322.58033500198093</v>
      </c>
      <c r="H76" s="88">
        <f t="shared" si="17"/>
        <v>344.78882075452822</v>
      </c>
      <c r="I76" s="88">
        <f t="shared" ref="I76:K76" si="18">I235</f>
        <v>336.12186532859374</v>
      </c>
      <c r="J76" s="88">
        <f t="shared" si="18"/>
        <v>327.87994817571763</v>
      </c>
      <c r="K76" s="88">
        <f t="shared" si="18"/>
        <v>274.10930356488285</v>
      </c>
    </row>
    <row r="77" spans="2:11" x14ac:dyDescent="0.25">
      <c r="B77" t="s">
        <v>277</v>
      </c>
      <c r="F77" s="35" t="s">
        <v>34</v>
      </c>
      <c r="G77" s="59">
        <f t="shared" si="17"/>
        <v>132.51760595902545</v>
      </c>
      <c r="H77" s="90">
        <f t="shared" si="17"/>
        <v>117.54071683641141</v>
      </c>
      <c r="I77" s="90">
        <f t="shared" ref="I77:K77" si="19">I236</f>
        <v>123.15003860518065</v>
      </c>
      <c r="J77" s="90">
        <f t="shared" si="19"/>
        <v>128.75936037394996</v>
      </c>
      <c r="K77" s="90">
        <f t="shared" si="19"/>
        <v>173.63393452410446</v>
      </c>
    </row>
    <row r="78" spans="2:11" x14ac:dyDescent="0.25">
      <c r="B78" t="s">
        <v>245</v>
      </c>
      <c r="F78" s="35" t="s">
        <v>34</v>
      </c>
      <c r="G78" s="59">
        <f t="shared" si="17"/>
        <v>38.812298981483686</v>
      </c>
      <c r="H78" s="90">
        <f t="shared" si="17"/>
        <v>29.871142022095441</v>
      </c>
      <c r="I78" s="90">
        <f t="shared" ref="I78:K78" si="20">I237</f>
        <v>33.219889946959924</v>
      </c>
      <c r="J78" s="90">
        <f t="shared" si="20"/>
        <v>36.568637871824428</v>
      </c>
      <c r="K78" s="90">
        <f t="shared" si="20"/>
        <v>63.358621270740521</v>
      </c>
    </row>
    <row r="79" spans="2:11" x14ac:dyDescent="0.25">
      <c r="F79" s="35"/>
      <c r="G79" s="60"/>
      <c r="H79" s="91"/>
      <c r="I79" s="91"/>
      <c r="J79" s="91"/>
      <c r="K79" s="91"/>
    </row>
    <row r="80" spans="2:11" x14ac:dyDescent="0.25">
      <c r="F80" s="35"/>
      <c r="G80" s="60"/>
      <c r="H80" s="91"/>
      <c r="I80" s="91"/>
      <c r="J80" s="91"/>
      <c r="K80" s="91"/>
    </row>
    <row r="81" spans="2:11" x14ac:dyDescent="0.25">
      <c r="F81" s="35"/>
      <c r="G81" s="60"/>
      <c r="H81" s="91"/>
      <c r="I81" s="91"/>
      <c r="J81" s="91"/>
      <c r="K81" s="91"/>
    </row>
    <row r="82" spans="2:11" x14ac:dyDescent="0.25">
      <c r="F82" s="35"/>
      <c r="G82" s="60"/>
      <c r="H82" s="91"/>
      <c r="I82" s="91"/>
      <c r="J82" s="91"/>
      <c r="K82" s="91"/>
    </row>
    <row r="83" spans="2:11" x14ac:dyDescent="0.25">
      <c r="G83" s="54"/>
      <c r="H83" s="79"/>
      <c r="I83" s="79"/>
      <c r="J83" s="79"/>
      <c r="K83" s="79"/>
    </row>
    <row r="84" spans="2:11" x14ac:dyDescent="0.25">
      <c r="B84" s="32" t="s">
        <v>278</v>
      </c>
      <c r="C84" s="33"/>
      <c r="D84" s="33"/>
      <c r="E84" s="33"/>
      <c r="F84" s="34"/>
      <c r="G84" s="41"/>
      <c r="H84" s="79"/>
      <c r="I84" s="79"/>
      <c r="J84" s="79"/>
      <c r="K84" s="79"/>
    </row>
    <row r="85" spans="2:11" x14ac:dyDescent="0.25">
      <c r="B85" s="4" t="s">
        <v>43</v>
      </c>
      <c r="G85" s="41"/>
      <c r="H85" s="79"/>
      <c r="I85" s="79"/>
      <c r="J85" s="79"/>
      <c r="K85" s="79"/>
    </row>
    <row r="86" spans="2:11" x14ac:dyDescent="0.25">
      <c r="B86" t="s">
        <v>44</v>
      </c>
      <c r="F86" s="35" t="s">
        <v>45</v>
      </c>
      <c r="G86" s="61">
        <f t="shared" ref="G86:K95" si="21">IF(G$33="Hot Fluid",G10,G22)</f>
        <v>120000</v>
      </c>
      <c r="H86" s="92">
        <f t="shared" si="21"/>
        <v>120000</v>
      </c>
      <c r="I86" s="92">
        <f t="shared" si="21"/>
        <v>120000</v>
      </c>
      <c r="J86" s="92">
        <f t="shared" si="21"/>
        <v>120000</v>
      </c>
      <c r="K86" s="92">
        <f t="shared" si="21"/>
        <v>120000</v>
      </c>
    </row>
    <row r="87" spans="2:11" x14ac:dyDescent="0.25">
      <c r="B87" t="s">
        <v>46</v>
      </c>
      <c r="E87" t="s">
        <v>47</v>
      </c>
      <c r="F87" s="36" t="s">
        <v>48</v>
      </c>
      <c r="G87" s="57">
        <f t="shared" si="21"/>
        <v>104</v>
      </c>
      <c r="H87" s="88">
        <f t="shared" si="21"/>
        <v>104</v>
      </c>
      <c r="I87" s="88">
        <f t="shared" si="21"/>
        <v>104</v>
      </c>
      <c r="J87" s="88">
        <f t="shared" si="21"/>
        <v>104</v>
      </c>
      <c r="K87" s="88">
        <f t="shared" si="21"/>
        <v>104</v>
      </c>
    </row>
    <row r="88" spans="2:11" x14ac:dyDescent="0.25">
      <c r="B88" t="s">
        <v>50</v>
      </c>
      <c r="E88" t="s">
        <v>49</v>
      </c>
      <c r="F88" s="36" t="s">
        <v>48</v>
      </c>
      <c r="G88" s="57">
        <f t="shared" si="21"/>
        <v>85.111109999999996</v>
      </c>
      <c r="H88" s="88">
        <f t="shared" si="21"/>
        <v>85.111109999999996</v>
      </c>
      <c r="I88" s="88">
        <f t="shared" si="21"/>
        <v>85.111109999999996</v>
      </c>
      <c r="J88" s="88">
        <f t="shared" si="21"/>
        <v>85.111109999999996</v>
      </c>
      <c r="K88" s="88">
        <f t="shared" si="21"/>
        <v>85.111109999999996</v>
      </c>
    </row>
    <row r="89" spans="2:11" x14ac:dyDescent="0.25">
      <c r="B89" t="s">
        <v>51</v>
      </c>
      <c r="E89" s="5"/>
      <c r="F89" s="35" t="s">
        <v>288</v>
      </c>
      <c r="G89" s="57">
        <f t="shared" si="21"/>
        <v>578</v>
      </c>
      <c r="H89" s="88">
        <f t="shared" si="21"/>
        <v>578</v>
      </c>
      <c r="I89" s="88">
        <f t="shared" si="21"/>
        <v>578</v>
      </c>
      <c r="J89" s="88">
        <f t="shared" si="21"/>
        <v>578</v>
      </c>
      <c r="K89" s="88">
        <f t="shared" si="21"/>
        <v>578</v>
      </c>
    </row>
    <row r="90" spans="2:11" x14ac:dyDescent="0.25">
      <c r="B90" t="s">
        <v>52</v>
      </c>
      <c r="F90" s="35" t="s">
        <v>53</v>
      </c>
      <c r="G90" s="57">
        <f t="shared" si="21"/>
        <v>0.16</v>
      </c>
      <c r="H90" s="88">
        <f t="shared" si="21"/>
        <v>0.16</v>
      </c>
      <c r="I90" s="88">
        <f t="shared" si="21"/>
        <v>0.16</v>
      </c>
      <c r="J90" s="88">
        <f t="shared" si="21"/>
        <v>0.16</v>
      </c>
      <c r="K90" s="88">
        <f t="shared" si="21"/>
        <v>0.16</v>
      </c>
    </row>
    <row r="91" spans="2:11" x14ac:dyDescent="0.25">
      <c r="B91" t="s">
        <v>55</v>
      </c>
      <c r="F91" s="35" t="s">
        <v>289</v>
      </c>
      <c r="G91" s="57">
        <f t="shared" si="21"/>
        <v>0.63</v>
      </c>
      <c r="H91" s="88">
        <f t="shared" si="21"/>
        <v>0.63</v>
      </c>
      <c r="I91" s="88">
        <f t="shared" si="21"/>
        <v>0.63</v>
      </c>
      <c r="J91" s="88">
        <f t="shared" si="21"/>
        <v>0.63</v>
      </c>
      <c r="K91" s="88">
        <f t="shared" si="21"/>
        <v>0.63</v>
      </c>
    </row>
    <row r="92" spans="2:11" x14ac:dyDescent="0.25">
      <c r="B92" t="s">
        <v>54</v>
      </c>
      <c r="F92" s="35" t="s">
        <v>290</v>
      </c>
      <c r="G92" s="57">
        <f t="shared" si="21"/>
        <v>0.08</v>
      </c>
      <c r="H92" s="88">
        <f t="shared" si="21"/>
        <v>0.08</v>
      </c>
      <c r="I92" s="88">
        <f t="shared" si="21"/>
        <v>0.08</v>
      </c>
      <c r="J92" s="88">
        <f t="shared" si="21"/>
        <v>0.08</v>
      </c>
      <c r="K92" s="88">
        <f t="shared" si="21"/>
        <v>0.08</v>
      </c>
    </row>
    <row r="93" spans="2:11" x14ac:dyDescent="0.25">
      <c r="B93" t="s">
        <v>56</v>
      </c>
      <c r="F93" s="35" t="s">
        <v>53</v>
      </c>
      <c r="G93" s="57">
        <f t="shared" si="21"/>
        <v>0.16</v>
      </c>
      <c r="H93" s="88">
        <f t="shared" si="21"/>
        <v>0.16</v>
      </c>
      <c r="I93" s="88">
        <f t="shared" si="21"/>
        <v>0.16</v>
      </c>
      <c r="J93" s="88">
        <f t="shared" si="21"/>
        <v>0.16</v>
      </c>
      <c r="K93" s="88">
        <f t="shared" si="21"/>
        <v>0.16</v>
      </c>
    </row>
    <row r="94" spans="2:11" x14ac:dyDescent="0.25">
      <c r="B94" t="s">
        <v>57</v>
      </c>
      <c r="F94" s="35" t="s">
        <v>58</v>
      </c>
      <c r="G94" s="57">
        <f t="shared" si="21"/>
        <v>0.5</v>
      </c>
      <c r="H94" s="88">
        <f t="shared" si="21"/>
        <v>0.5</v>
      </c>
      <c r="I94" s="88">
        <f t="shared" si="21"/>
        <v>0.5</v>
      </c>
      <c r="J94" s="88">
        <f t="shared" si="21"/>
        <v>0.5</v>
      </c>
      <c r="K94" s="88">
        <f t="shared" si="21"/>
        <v>0.5</v>
      </c>
    </row>
    <row r="95" spans="2:11" x14ac:dyDescent="0.25">
      <c r="B95" t="s">
        <v>59</v>
      </c>
      <c r="F95" s="35" t="s">
        <v>291</v>
      </c>
      <c r="G95" s="56">
        <f t="shared" si="21"/>
        <v>4.0000000000000002E-4</v>
      </c>
      <c r="H95" s="87">
        <f t="shared" si="21"/>
        <v>4.0000000000000002E-4</v>
      </c>
      <c r="I95" s="87">
        <f t="shared" si="21"/>
        <v>4.0000000000000002E-4</v>
      </c>
      <c r="J95" s="87">
        <f t="shared" si="21"/>
        <v>4.0000000000000002E-4</v>
      </c>
      <c r="K95" s="87">
        <f t="shared" si="21"/>
        <v>4.0000000000000002E-4</v>
      </c>
    </row>
    <row r="96" spans="2:11" x14ac:dyDescent="0.25">
      <c r="G96" s="54"/>
      <c r="H96" s="79"/>
      <c r="I96" s="79"/>
      <c r="J96" s="79"/>
      <c r="K96" s="79"/>
    </row>
    <row r="97" spans="2:11" x14ac:dyDescent="0.25">
      <c r="B97" s="4" t="s">
        <v>60</v>
      </c>
      <c r="G97" s="41"/>
      <c r="H97" s="79"/>
      <c r="I97" s="79"/>
      <c r="J97" s="79"/>
      <c r="K97" s="79"/>
    </row>
    <row r="98" spans="2:11" x14ac:dyDescent="0.25">
      <c r="B98" t="s">
        <v>44</v>
      </c>
      <c r="F98" s="35" t="s">
        <v>45</v>
      </c>
      <c r="G98" s="61">
        <f t="shared" ref="G98:K107" si="22">IF(G$33="Hot Fluid",G22,G10)</f>
        <v>140000</v>
      </c>
      <c r="H98" s="92">
        <f t="shared" si="22"/>
        <v>140000</v>
      </c>
      <c r="I98" s="92">
        <f t="shared" si="22"/>
        <v>140000</v>
      </c>
      <c r="J98" s="92">
        <f t="shared" si="22"/>
        <v>140000</v>
      </c>
      <c r="K98" s="92">
        <f t="shared" si="22"/>
        <v>140000</v>
      </c>
    </row>
    <row r="99" spans="2:11" x14ac:dyDescent="0.25">
      <c r="B99" t="s">
        <v>46</v>
      </c>
      <c r="E99" t="s">
        <v>61</v>
      </c>
      <c r="F99" s="36" t="s">
        <v>48</v>
      </c>
      <c r="G99" s="57">
        <f t="shared" si="22"/>
        <v>40</v>
      </c>
      <c r="H99" s="88">
        <f t="shared" si="22"/>
        <v>40</v>
      </c>
      <c r="I99" s="88">
        <f t="shared" si="22"/>
        <v>40</v>
      </c>
      <c r="J99" s="88">
        <f t="shared" si="22"/>
        <v>40</v>
      </c>
      <c r="K99" s="88">
        <f t="shared" si="22"/>
        <v>40</v>
      </c>
    </row>
    <row r="100" spans="2:11" x14ac:dyDescent="0.25">
      <c r="B100" t="s">
        <v>50</v>
      </c>
      <c r="E100" t="s">
        <v>62</v>
      </c>
      <c r="F100" s="36" t="s">
        <v>48</v>
      </c>
      <c r="G100" s="57">
        <f t="shared" si="22"/>
        <v>60.00000117647059</v>
      </c>
      <c r="H100" s="88">
        <f t="shared" si="22"/>
        <v>60.00000117647059</v>
      </c>
      <c r="I100" s="88">
        <f t="shared" si="22"/>
        <v>60.00000117647059</v>
      </c>
      <c r="J100" s="88">
        <f t="shared" si="22"/>
        <v>60.00000117647059</v>
      </c>
      <c r="K100" s="88">
        <f t="shared" si="22"/>
        <v>60.00000117647059</v>
      </c>
    </row>
    <row r="101" spans="2:11" x14ac:dyDescent="0.25">
      <c r="B101" t="s">
        <v>51</v>
      </c>
      <c r="E101" s="5"/>
      <c r="F101" s="35" t="s">
        <v>288</v>
      </c>
      <c r="G101" s="57">
        <f t="shared" si="22"/>
        <v>716</v>
      </c>
      <c r="H101" s="88">
        <f t="shared" si="22"/>
        <v>716</v>
      </c>
      <c r="I101" s="88">
        <f t="shared" si="22"/>
        <v>716</v>
      </c>
      <c r="J101" s="88">
        <f t="shared" si="22"/>
        <v>716</v>
      </c>
      <c r="K101" s="88">
        <f t="shared" si="22"/>
        <v>716</v>
      </c>
    </row>
    <row r="102" spans="2:11" x14ac:dyDescent="0.25">
      <c r="B102" t="s">
        <v>52</v>
      </c>
      <c r="F102" s="35" t="s">
        <v>53</v>
      </c>
      <c r="G102" s="57">
        <f t="shared" si="22"/>
        <v>0.62</v>
      </c>
      <c r="H102" s="88">
        <f t="shared" si="22"/>
        <v>0.62</v>
      </c>
      <c r="I102" s="88">
        <f t="shared" si="22"/>
        <v>0.62</v>
      </c>
      <c r="J102" s="88">
        <f t="shared" si="22"/>
        <v>0.62</v>
      </c>
      <c r="K102" s="88">
        <f t="shared" si="22"/>
        <v>0.62</v>
      </c>
    </row>
    <row r="103" spans="2:11" x14ac:dyDescent="0.25">
      <c r="B103" t="s">
        <v>55</v>
      </c>
      <c r="F103" s="35" t="s">
        <v>289</v>
      </c>
      <c r="G103" s="57">
        <f t="shared" si="22"/>
        <v>0.51</v>
      </c>
      <c r="H103" s="88">
        <f t="shared" si="22"/>
        <v>0.51</v>
      </c>
      <c r="I103" s="88">
        <f t="shared" si="22"/>
        <v>0.51</v>
      </c>
      <c r="J103" s="88">
        <f t="shared" si="22"/>
        <v>0.51</v>
      </c>
      <c r="K103" s="88">
        <f t="shared" si="22"/>
        <v>0.51</v>
      </c>
    </row>
    <row r="104" spans="2:11" x14ac:dyDescent="0.25">
      <c r="B104" t="s">
        <v>54</v>
      </c>
      <c r="F104" s="35" t="s">
        <v>290</v>
      </c>
      <c r="G104" s="57">
        <f t="shared" si="22"/>
        <v>0.11</v>
      </c>
      <c r="H104" s="88">
        <f t="shared" si="22"/>
        <v>0.11</v>
      </c>
      <c r="I104" s="88">
        <f t="shared" si="22"/>
        <v>0.11</v>
      </c>
      <c r="J104" s="88">
        <f t="shared" si="22"/>
        <v>0.11</v>
      </c>
      <c r="K104" s="88">
        <f t="shared" si="22"/>
        <v>0.11</v>
      </c>
    </row>
    <row r="105" spans="2:11" x14ac:dyDescent="0.25">
      <c r="B105" t="s">
        <v>56</v>
      </c>
      <c r="F105" s="35" t="s">
        <v>53</v>
      </c>
      <c r="G105" s="57">
        <f t="shared" si="22"/>
        <v>0.59</v>
      </c>
      <c r="H105" s="88">
        <f t="shared" si="22"/>
        <v>0.59</v>
      </c>
      <c r="I105" s="88">
        <f t="shared" si="22"/>
        <v>0.59</v>
      </c>
      <c r="J105" s="88">
        <f t="shared" si="22"/>
        <v>0.59</v>
      </c>
      <c r="K105" s="88">
        <f t="shared" si="22"/>
        <v>0.59</v>
      </c>
    </row>
    <row r="106" spans="2:11" x14ac:dyDescent="0.25">
      <c r="B106" t="s">
        <v>57</v>
      </c>
      <c r="F106" s="35" t="s">
        <v>58</v>
      </c>
      <c r="G106" s="57">
        <f t="shared" si="22"/>
        <v>0.5</v>
      </c>
      <c r="H106" s="88">
        <f t="shared" si="22"/>
        <v>0.5</v>
      </c>
      <c r="I106" s="88">
        <f t="shared" si="22"/>
        <v>0.5</v>
      </c>
      <c r="J106" s="88">
        <f t="shared" si="22"/>
        <v>0.5</v>
      </c>
      <c r="K106" s="88">
        <f t="shared" si="22"/>
        <v>0.5</v>
      </c>
    </row>
    <row r="107" spans="2:11" x14ac:dyDescent="0.25">
      <c r="B107" t="s">
        <v>59</v>
      </c>
      <c r="F107" s="35" t="s">
        <v>291</v>
      </c>
      <c r="G107" s="56">
        <f t="shared" si="22"/>
        <v>5.0000000000000001E-4</v>
      </c>
      <c r="H107" s="87">
        <f t="shared" si="22"/>
        <v>5.0000000000000001E-4</v>
      </c>
      <c r="I107" s="87">
        <f t="shared" si="22"/>
        <v>5.0000000000000001E-4</v>
      </c>
      <c r="J107" s="87">
        <f t="shared" si="22"/>
        <v>5.0000000000000001E-4</v>
      </c>
      <c r="K107" s="87">
        <f t="shared" si="22"/>
        <v>5.0000000000000001E-4</v>
      </c>
    </row>
    <row r="108" spans="2:11" x14ac:dyDescent="0.25">
      <c r="G108" s="41"/>
      <c r="H108" s="79"/>
      <c r="I108" s="79"/>
      <c r="J108" s="79"/>
      <c r="K108" s="79"/>
    </row>
    <row r="109" spans="2:11" x14ac:dyDescent="0.25">
      <c r="B109" s="4" t="s">
        <v>64</v>
      </c>
      <c r="G109" s="41"/>
      <c r="H109" s="79"/>
      <c r="I109" s="79"/>
      <c r="J109" s="79"/>
      <c r="K109" s="79"/>
    </row>
    <row r="110" spans="2:11" ht="18.75" x14ac:dyDescent="0.35">
      <c r="B110" t="s">
        <v>68</v>
      </c>
      <c r="E110" t="s">
        <v>69</v>
      </c>
      <c r="F110" s="35" t="s">
        <v>5</v>
      </c>
      <c r="G110" s="55">
        <f>IF(G44=45,G46*1/SQRT(2),G46)</f>
        <v>23.8125</v>
      </c>
      <c r="H110" s="86">
        <f>IF(H44=45,H46*1/SQRT(2),H46)</f>
        <v>23.8125</v>
      </c>
      <c r="I110" s="86">
        <f>IF(I44=45,I46*1/SQRT(2),I46)</f>
        <v>23.8125</v>
      </c>
      <c r="J110" s="86">
        <f>IF(J44=45,J46*1/SQRT(2),J46)</f>
        <v>23.8125</v>
      </c>
      <c r="K110" s="86">
        <f>IF(K44=45,K46*1/SQRT(2),K46)</f>
        <v>23.8125</v>
      </c>
    </row>
    <row r="111" spans="2:11" x14ac:dyDescent="0.25">
      <c r="B111" s="7" t="s">
        <v>71</v>
      </c>
      <c r="E111" t="s">
        <v>70</v>
      </c>
      <c r="F111" s="35" t="s">
        <v>292</v>
      </c>
      <c r="G111" s="56">
        <f>(G56/1000)*((G53-G55)+(G55-G40)*(G46-G40)/G110)/1000</f>
        <v>3.0519683999999991E-2</v>
      </c>
      <c r="H111" s="87">
        <f>(H56/1000)*((H53-H55)+(H55-H40)*(H46-H40)/H110)/1000</f>
        <v>3.0519683999999991E-2</v>
      </c>
      <c r="I111" s="87">
        <f>(I56/1000)*((I53-I55)+(I55-I40)*(I46-I40)/I110)/1000</f>
        <v>3.0519683999999991E-2</v>
      </c>
      <c r="J111" s="87">
        <f>(J56/1000)*((J53-J55)+(J55-J40)*(J46-J40)/J110)/1000</f>
        <v>3.0519683999999991E-2</v>
      </c>
      <c r="K111" s="87">
        <f>(K56/1000)*((K53-K55)+(K55-K40)*(K46-K40)/K110)/1000</f>
        <v>3.0519683999999991E-2</v>
      </c>
    </row>
    <row r="112" spans="2:11" ht="18.75" x14ac:dyDescent="0.35">
      <c r="B112" s="7" t="s">
        <v>75</v>
      </c>
      <c r="E112" t="s">
        <v>76</v>
      </c>
      <c r="F112" s="35" t="s">
        <v>294</v>
      </c>
      <c r="G112" s="62">
        <f>(G98/3600)/G111</f>
        <v>1274.2231829428147</v>
      </c>
      <c r="H112" s="93">
        <f>(H98/3600)/H111</f>
        <v>1274.2231829428147</v>
      </c>
      <c r="I112" s="93">
        <f t="shared" ref="I112:K112" si="23">(I98/3600)/I111</f>
        <v>1274.2231829428147</v>
      </c>
      <c r="J112" s="93">
        <f t="shared" si="23"/>
        <v>1274.2231829428147</v>
      </c>
      <c r="K112" s="93">
        <f t="shared" si="23"/>
        <v>1274.2231829428147</v>
      </c>
    </row>
    <row r="113" spans="2:11" ht="18.75" x14ac:dyDescent="0.35">
      <c r="B113" s="7" t="s">
        <v>72</v>
      </c>
      <c r="E113" t="s">
        <v>77</v>
      </c>
      <c r="F113" s="35"/>
      <c r="G113" s="58">
        <f>(G40/1000)*G112/(G102*0.001)</f>
        <v>39151.534895259065</v>
      </c>
      <c r="H113" s="89">
        <f>(H40/1000)*H112/(H102*0.001)</f>
        <v>39151.534895259065</v>
      </c>
      <c r="I113" s="89">
        <f>(I40/1000)*I112/(I102*0.001)</f>
        <v>39151.534895259065</v>
      </c>
      <c r="J113" s="89">
        <f>(J40/1000)*J112/(J102*0.001)</f>
        <v>39151.534895259065</v>
      </c>
      <c r="K113" s="89">
        <f>(K40/1000)*K112/(K102*0.001)</f>
        <v>39151.534895259065</v>
      </c>
    </row>
    <row r="114" spans="2:11" ht="18.75" x14ac:dyDescent="0.35">
      <c r="B114" s="7" t="s">
        <v>78</v>
      </c>
      <c r="E114" t="s">
        <v>79</v>
      </c>
      <c r="F114" s="35"/>
      <c r="G114" s="57">
        <f>(G102/1000)*G103/G104*3600</f>
        <v>10.348363636363635</v>
      </c>
      <c r="H114" s="88">
        <f>(H102/1000)*H103/H104*3600</f>
        <v>10.348363636363635</v>
      </c>
      <c r="I114" s="88">
        <f t="shared" ref="I114:K114" si="24">(I102/1000)*I103/I104*3600</f>
        <v>10.348363636363635</v>
      </c>
      <c r="J114" s="88">
        <f t="shared" si="24"/>
        <v>10.348363636363635</v>
      </c>
      <c r="K114" s="88">
        <f t="shared" si="24"/>
        <v>10.348363636363635</v>
      </c>
    </row>
    <row r="115" spans="2:11" x14ac:dyDescent="0.25">
      <c r="B115" s="7" t="s">
        <v>91</v>
      </c>
      <c r="E115" t="s">
        <v>83</v>
      </c>
      <c r="F115" s="35"/>
      <c r="G115" s="63">
        <f>IF(G44=30,VLOOKUP(G113,$C$263:$K$267,2),IF(G44=45,VLOOKUP(G113,$C$268:$K$272,2),VLOOKUP(G113,$C$273:$K$277,2)))</f>
        <v>0.32100000000000001</v>
      </c>
      <c r="H115" s="94">
        <f>IF(H44=30,VLOOKUP(H113,$C$263:$K$267,2),IF(H44=45,VLOOKUP(H113,$C$268:$K$272,2),VLOOKUP(H113,$C$273:$K$277,2)))</f>
        <v>0.32100000000000001</v>
      </c>
      <c r="I115" s="94">
        <f>IF(I44=30,VLOOKUP(I113,$C$263:$K$267,2),IF(I44=45,VLOOKUP(I113,$C$268:$K$272,2),VLOOKUP(I113,$C$273:$K$277,2)))</f>
        <v>0.32100000000000001</v>
      </c>
      <c r="J115" s="94">
        <f>IF(J44=30,VLOOKUP(J113,$C$263:$K$267,2),IF(J44=45,VLOOKUP(J113,$C$268:$K$272,2),VLOOKUP(J113,$C$273:$K$277,2)))</f>
        <v>0.32100000000000001</v>
      </c>
      <c r="K115" s="94">
        <f>IF(K44=30,VLOOKUP(K113,$C$263:$K$267,2),IF(K44=45,VLOOKUP(K113,$C$268:$K$272,2),VLOOKUP(K113,$C$273:$K$277,2)))</f>
        <v>0.32100000000000001</v>
      </c>
    </row>
    <row r="116" spans="2:11" x14ac:dyDescent="0.25">
      <c r="E116" t="s">
        <v>84</v>
      </c>
      <c r="F116" s="35"/>
      <c r="G116" s="63">
        <f>IF(G44=30,VLOOKUP(G113,$C$263:$K$267,3),IF(G44=45,VLOOKUP(G113,$C$268:$K$272,3),VLOOKUP(G113,$C$273:$K$277,3)))</f>
        <v>-0.38800000000000001</v>
      </c>
      <c r="H116" s="94">
        <f>IF(H44=30,VLOOKUP(H113,$C$263:$K$267,3),IF(H44=45,VLOOKUP(H113,$C$268:$K$272,3),VLOOKUP(H113,$C$273:$K$277,3)))</f>
        <v>-0.38800000000000001</v>
      </c>
      <c r="I116" s="94">
        <f>IF(I44=30,VLOOKUP(I113,$C$263:$K$267,3),IF(I44=45,VLOOKUP(I113,$C$268:$K$272,3),VLOOKUP(I113,$C$273:$K$277,3)))</f>
        <v>-0.38800000000000001</v>
      </c>
      <c r="J116" s="94">
        <f>IF(J44=30,VLOOKUP(J113,$C$263:$K$267,3),IF(J44=45,VLOOKUP(J113,$C$268:$K$272,3),VLOOKUP(J113,$C$273:$K$277,3)))</f>
        <v>-0.38800000000000001</v>
      </c>
      <c r="K116" s="94">
        <f>IF(K44=30,VLOOKUP(K113,$C$263:$K$267,3),IF(K44=45,VLOOKUP(K113,$C$268:$K$272,3),VLOOKUP(K113,$C$273:$K$277,3)))</f>
        <v>-0.38800000000000001</v>
      </c>
    </row>
    <row r="117" spans="2:11" x14ac:dyDescent="0.25">
      <c r="E117" t="s">
        <v>85</v>
      </c>
      <c r="F117" s="35"/>
      <c r="G117" s="63">
        <f>IF(G44=30,VLOOKUP(G113,$C$263:$K$267,4),IF(G44=45,VLOOKUP(G113,$C$268:$K$272,4),VLOOKUP(G113,$C$273:$K$277,4)))</f>
        <v>1.45</v>
      </c>
      <c r="H117" s="94">
        <f>IF(H44=30,VLOOKUP(H113,$C$263:$K$267,4),IF(H44=45,VLOOKUP(H113,$C$268:$K$272,4),VLOOKUP(H113,$C$273:$K$277,4)))</f>
        <v>1.45</v>
      </c>
      <c r="I117" s="94">
        <f>IF(I44=30,VLOOKUP(I113,$C$263:$K$267,4),IF(I44=45,VLOOKUP(I113,$C$268:$K$272,4),VLOOKUP(I113,$C$273:$K$277,4)))</f>
        <v>1.45</v>
      </c>
      <c r="J117" s="94">
        <f>IF(J44=30,VLOOKUP(J113,$C$263:$K$267,4),IF(J44=45,VLOOKUP(J113,$C$268:$K$272,4),VLOOKUP(J113,$C$273:$K$277,4)))</f>
        <v>1.45</v>
      </c>
      <c r="K117" s="94">
        <f>IF(K44=30,VLOOKUP(K113,$C$263:$K$267,4),IF(K44=45,VLOOKUP(K113,$C$268:$K$272,4),VLOOKUP(K113,$C$273:$K$277,4)))</f>
        <v>1.45</v>
      </c>
    </row>
    <row r="118" spans="2:11" x14ac:dyDescent="0.25">
      <c r="E118" t="s">
        <v>86</v>
      </c>
      <c r="F118" s="35"/>
      <c r="G118" s="63">
        <f>IF(G44=30,VLOOKUP(G113,$C$263:$K$267,5),IF(G44=45,VLOOKUP(G113,$C$268:$K$272,5),VLOOKUP(G113,$C$273:$K$277,5)))</f>
        <v>0.51900000000000002</v>
      </c>
      <c r="H118" s="94">
        <f>IF(H44=30,VLOOKUP(H113,$C$263:$K$267,5),IF(H44=45,VLOOKUP(H113,$C$268:$K$272,5),VLOOKUP(H113,$C$273:$K$277,5)))</f>
        <v>0.51900000000000002</v>
      </c>
      <c r="I118" s="94">
        <f>IF(I44=30,VLOOKUP(I113,$C$263:$K$267,5),IF(I44=45,VLOOKUP(I113,$C$268:$K$272,5),VLOOKUP(I113,$C$273:$K$277,5)))</f>
        <v>0.51900000000000002</v>
      </c>
      <c r="J118" s="94">
        <f>IF(J44=30,VLOOKUP(J113,$C$263:$K$267,5),IF(J44=45,VLOOKUP(J113,$C$268:$K$272,5),VLOOKUP(J113,$C$273:$K$277,5)))</f>
        <v>0.51900000000000002</v>
      </c>
      <c r="K118" s="94">
        <f>IF(K44=30,VLOOKUP(K113,$C$263:$K$267,5),IF(K44=45,VLOOKUP(K113,$C$268:$K$272,5),VLOOKUP(K113,$C$273:$K$277,5)))</f>
        <v>0.51900000000000002</v>
      </c>
    </row>
    <row r="119" spans="2:11" x14ac:dyDescent="0.25">
      <c r="E119" t="s">
        <v>92</v>
      </c>
      <c r="F119" s="35"/>
      <c r="G119" s="56">
        <f>G117/(1+0.14*(G113)^G118)</f>
        <v>4.158772303191087E-2</v>
      </c>
      <c r="H119" s="87">
        <f>H117/(1+0.14*(H113)^H118)</f>
        <v>4.158772303191087E-2</v>
      </c>
      <c r="I119" s="87">
        <f t="shared" ref="I119:K119" si="25">I117/(1+0.14*(I113)^I118)</f>
        <v>4.158772303191087E-2</v>
      </c>
      <c r="J119" s="87">
        <f t="shared" si="25"/>
        <v>4.158772303191087E-2</v>
      </c>
      <c r="K119" s="87">
        <f t="shared" si="25"/>
        <v>4.158772303191087E-2</v>
      </c>
    </row>
    <row r="120" spans="2:11" x14ac:dyDescent="0.25">
      <c r="B120" t="s">
        <v>93</v>
      </c>
      <c r="E120" t="s">
        <v>94</v>
      </c>
      <c r="F120" s="35"/>
      <c r="G120" s="64">
        <f>G115*(1.33/(G46/G40))^G119*(G113)^G116</f>
        <v>5.3166606569083315E-3</v>
      </c>
      <c r="H120" s="95">
        <f>H115*(1.33/(H46/H40))^H119*(H113)^H116</f>
        <v>5.3166606569083315E-3</v>
      </c>
      <c r="I120" s="95">
        <f>I115*(1.33/(I46/I40))^I119*(I113)^I116</f>
        <v>5.3166606569083315E-3</v>
      </c>
      <c r="J120" s="95">
        <f>J115*(1.33/(J46/J40))^J119*(J113)^J116</f>
        <v>5.3166606569083315E-3</v>
      </c>
      <c r="K120" s="95">
        <f>K115*(1.33/(K46/K40))^K119*(K113)^K116</f>
        <v>5.3166606569083315E-3</v>
      </c>
    </row>
    <row r="121" spans="2:11" ht="18.75" x14ac:dyDescent="0.35">
      <c r="B121" t="s">
        <v>95</v>
      </c>
      <c r="E121" t="s">
        <v>96</v>
      </c>
      <c r="F121" s="35" t="s">
        <v>293</v>
      </c>
      <c r="G121" s="62">
        <f>G103*(G98/G111)*G120*(G114)^(-2/3)*(G102/G105)^0.14</f>
        <v>2637.4944534573206</v>
      </c>
      <c r="H121" s="93">
        <f>H103*(H98/H111)*H120*(H114)^(-2/3)*(H102/H105)^0.14</f>
        <v>2637.4944534573206</v>
      </c>
      <c r="I121" s="93">
        <f t="shared" ref="I121:K121" si="26">I103*(I98/I111)*I120*(I114)^(-2/3)*(I102/I105)^0.14</f>
        <v>2637.4944534573206</v>
      </c>
      <c r="J121" s="93">
        <f t="shared" si="26"/>
        <v>2637.4944534573206</v>
      </c>
      <c r="K121" s="93">
        <f t="shared" si="26"/>
        <v>2637.4944534573206</v>
      </c>
    </row>
    <row r="122" spans="2:11" x14ac:dyDescent="0.25">
      <c r="B122" s="8" t="s">
        <v>303</v>
      </c>
      <c r="G122" s="41"/>
      <c r="H122" s="79"/>
      <c r="I122" s="79"/>
      <c r="J122" s="79"/>
      <c r="K122" s="79"/>
    </row>
    <row r="123" spans="2:11" ht="18.75" x14ac:dyDescent="0.35">
      <c r="B123" t="s">
        <v>97</v>
      </c>
      <c r="E123" s="5" t="s">
        <v>103</v>
      </c>
      <c r="G123" s="59">
        <f>2*ACOS(G53*(1-2*G59/100)/(G55-G40))</f>
        <v>2.0241231856680408</v>
      </c>
      <c r="H123" s="90">
        <f>2*ACOS(H53*(1-2*H59/100)/(H55-H40))</f>
        <v>2.0241231856680408</v>
      </c>
      <c r="I123" s="90">
        <f>2*ACOS(I53*(1-2*I59/100)/(I55-I40))</f>
        <v>2.0241231856680408</v>
      </c>
      <c r="J123" s="90">
        <f>2*ACOS(J53*(1-2*J59/100)/(J55-J40))</f>
        <v>2.0241231856680408</v>
      </c>
      <c r="K123" s="90">
        <f>2*ACOS(K53*(1-2*K59/100)/(K55-K40))</f>
        <v>2.0241231856680408</v>
      </c>
    </row>
    <row r="124" spans="2:11" x14ac:dyDescent="0.25">
      <c r="E124" t="s">
        <v>102</v>
      </c>
      <c r="G124" s="59">
        <f>(G123-SIN(G123))/(2*PI())</f>
        <v>0.17906970392424687</v>
      </c>
      <c r="H124" s="90">
        <f>(H123-SIN(H123))/(2*PI())</f>
        <v>0.17906970392424687</v>
      </c>
      <c r="I124" s="90">
        <f t="shared" ref="I124:K124" si="27">(I123-SIN(I123))/(2*PI())</f>
        <v>0.17906970392424687</v>
      </c>
      <c r="J124" s="90">
        <f t="shared" si="27"/>
        <v>0.17906970392424687</v>
      </c>
      <c r="K124" s="90">
        <f t="shared" si="27"/>
        <v>0.17906970392424687</v>
      </c>
    </row>
    <row r="125" spans="2:11" x14ac:dyDescent="0.25">
      <c r="B125" t="s">
        <v>98</v>
      </c>
      <c r="E125" t="s">
        <v>99</v>
      </c>
      <c r="G125" s="59">
        <f>1-2*G124</f>
        <v>0.64186059215150626</v>
      </c>
      <c r="H125" s="90">
        <f>1-2*H124</f>
        <v>0.64186059215150626</v>
      </c>
      <c r="I125" s="90">
        <f t="shared" ref="I125:K125" si="28">1-2*I124</f>
        <v>0.64186059215150626</v>
      </c>
      <c r="J125" s="90">
        <f t="shared" si="28"/>
        <v>0.64186059215150626</v>
      </c>
      <c r="K125" s="90">
        <f t="shared" si="28"/>
        <v>0.64186059215150626</v>
      </c>
    </row>
    <row r="126" spans="2:11" x14ac:dyDescent="0.25">
      <c r="B126" t="s">
        <v>100</v>
      </c>
      <c r="E126" t="s">
        <v>101</v>
      </c>
      <c r="G126" s="59">
        <f>0.55+0.72*G125</f>
        <v>1.0121396263490845</v>
      </c>
      <c r="H126" s="90">
        <f>0.55+0.72*H125</f>
        <v>1.0121396263490845</v>
      </c>
      <c r="I126" s="90">
        <f t="shared" ref="I126:K126" si="29">0.55+0.72*I125</f>
        <v>1.0121396263490845</v>
      </c>
      <c r="J126" s="90">
        <f t="shared" si="29"/>
        <v>1.0121396263490845</v>
      </c>
      <c r="K126" s="90">
        <f t="shared" si="29"/>
        <v>1.0121396263490845</v>
      </c>
    </row>
    <row r="127" spans="2:11" x14ac:dyDescent="0.25">
      <c r="G127" s="41"/>
      <c r="H127" s="79"/>
      <c r="I127" s="79"/>
      <c r="J127" s="79"/>
      <c r="K127" s="79"/>
    </row>
    <row r="128" spans="2:11" x14ac:dyDescent="0.25">
      <c r="B128" s="8" t="s">
        <v>104</v>
      </c>
      <c r="G128" s="41"/>
      <c r="H128" s="79"/>
      <c r="I128" s="79"/>
      <c r="J128" s="79"/>
      <c r="K128" s="79"/>
    </row>
    <row r="129" spans="2:11" ht="18.75" x14ac:dyDescent="0.35">
      <c r="B129" t="s">
        <v>105</v>
      </c>
      <c r="E129" s="5" t="s">
        <v>106</v>
      </c>
      <c r="G129" s="65">
        <f>2*ACOS(1-2*G59/100)</f>
        <v>2.0943951023931953</v>
      </c>
      <c r="H129" s="96">
        <f>2*ACOS(1-2*H59/100)</f>
        <v>2.0943951023931953</v>
      </c>
      <c r="I129" s="96">
        <f>2*ACOS(1-2*I59/100)</f>
        <v>2.0943951023931953</v>
      </c>
      <c r="J129" s="96">
        <f>2*ACOS(1-2*J59/100)</f>
        <v>2.0943951023931953</v>
      </c>
      <c r="K129" s="96">
        <f>2*ACOS(1-2*K59/100)</f>
        <v>2.0943951023931953</v>
      </c>
    </row>
    <row r="130" spans="2:11" ht="18.75" x14ac:dyDescent="0.35">
      <c r="B130" t="s">
        <v>107</v>
      </c>
      <c r="E130" s="5" t="s">
        <v>108</v>
      </c>
      <c r="F130" s="35" t="s">
        <v>292</v>
      </c>
      <c r="G130" s="59">
        <f>(G53/1000)*(G61/1000)*(PI()-0.5*G129)</f>
        <v>7.0610939136908765E-3</v>
      </c>
      <c r="H130" s="90">
        <f>(H53/1000)*(H61/1000)*(PI()-0.5*H129)</f>
        <v>7.0610939136908765E-3</v>
      </c>
      <c r="I130" s="90">
        <f>(I53/1000)*(I61/1000)*(PI()-0.5*I129)</f>
        <v>7.0610939136908765E-3</v>
      </c>
      <c r="J130" s="90">
        <f>(J53/1000)*(J61/1000)*(PI()-0.5*J129)</f>
        <v>7.0610939136908765E-3</v>
      </c>
      <c r="K130" s="90">
        <f>(K53/1000)*(K61/1000)*(PI()-0.5*K129)</f>
        <v>7.0610939136908765E-3</v>
      </c>
    </row>
    <row r="131" spans="2:11" ht="18.75" x14ac:dyDescent="0.35">
      <c r="B131" t="s">
        <v>111</v>
      </c>
      <c r="E131" s="5" t="s">
        <v>112</v>
      </c>
      <c r="F131" s="35" t="s">
        <v>292</v>
      </c>
      <c r="G131" s="59">
        <f>(PI()/4)*((G40/1000+G63/1000)^2-(G40/1000)^2)*G38*(1-G124)</f>
        <v>4.1107136652351293E-3</v>
      </c>
      <c r="H131" s="90">
        <f>(PI()/4)*((H40/1000+H63/1000)^2-(H40/1000)^2)*H38*(1-H124)</f>
        <v>4.1107136652351293E-3</v>
      </c>
      <c r="I131" s="90">
        <f>(PI()/4)*((I40/1000+I63/1000)^2-(I40/1000)^2)*I38*(1-I124)</f>
        <v>4.1107136652351293E-3</v>
      </c>
      <c r="J131" s="90">
        <f>(PI()/4)*((J40/1000+J63/1000)^2-(J40/1000)^2)*J38*(1-J124)</f>
        <v>4.1107136652351293E-3</v>
      </c>
      <c r="K131" s="90">
        <f>(PI()/4)*((K40/1000+K63/1000)^2-(K40/1000)^2)*K38*(1-K124)</f>
        <v>4.1107136652351293E-3</v>
      </c>
    </row>
    <row r="132" spans="2:11" ht="18.75" x14ac:dyDescent="0.35">
      <c r="B132" t="s">
        <v>116</v>
      </c>
      <c r="E132" s="5" t="s">
        <v>117</v>
      </c>
      <c r="G132" s="59">
        <f>(G130+G131)/G111</f>
        <v>0.36605253117712522</v>
      </c>
      <c r="H132" s="90">
        <f>(H130+H131)/H111</f>
        <v>0.36605253117712522</v>
      </c>
      <c r="I132" s="90">
        <f t="shared" ref="I132:K132" si="30">(I130+I131)/I111</f>
        <v>0.36605253117712522</v>
      </c>
      <c r="J132" s="90">
        <f t="shared" si="30"/>
        <v>0.36605253117712522</v>
      </c>
      <c r="K132" s="90">
        <f t="shared" si="30"/>
        <v>0.36605253117712522</v>
      </c>
    </row>
    <row r="133" spans="2:11" ht="18.75" x14ac:dyDescent="0.35">
      <c r="B133" t="s">
        <v>118</v>
      </c>
      <c r="E133" s="5" t="s">
        <v>119</v>
      </c>
      <c r="G133" s="59">
        <f>G130/(G130+G131)</f>
        <v>0.63204578702291692</v>
      </c>
      <c r="H133" s="90">
        <f>H130/(H130+H131)</f>
        <v>0.63204578702291692</v>
      </c>
      <c r="I133" s="90">
        <f t="shared" ref="I133:K133" si="31">I130/(I130+I131)</f>
        <v>0.63204578702291692</v>
      </c>
      <c r="J133" s="90">
        <f t="shared" si="31"/>
        <v>0.63204578702291692</v>
      </c>
      <c r="K133" s="90">
        <f t="shared" si="31"/>
        <v>0.63204578702291692</v>
      </c>
    </row>
    <row r="134" spans="2:11" ht="18.75" x14ac:dyDescent="0.35">
      <c r="B134" t="s">
        <v>120</v>
      </c>
      <c r="E134" s="5" t="s">
        <v>121</v>
      </c>
      <c r="G134" s="59">
        <f>0.44*(1-G133)+(1-0.44*(1-G133))*EXP(-2.2*G132)</f>
        <v>0.5364860840621466</v>
      </c>
      <c r="H134" s="90">
        <f>0.44*(1-H133)+(1-0.44*(1-H133))*EXP(-2.2*H132)</f>
        <v>0.5364860840621466</v>
      </c>
      <c r="I134" s="90">
        <f>0.44*(1-I133)+(1-0.44*(1-I133))*EXP(-2.2*I132)</f>
        <v>0.5364860840621466</v>
      </c>
      <c r="J134" s="90">
        <f>0.44*(1-J133)+(1-0.44*(1-J133))*EXP(-2.2*J132)</f>
        <v>0.5364860840621466</v>
      </c>
      <c r="K134" s="90">
        <f>0.44*(1-K133)+(1-0.44*(1-K133))*EXP(-2.2*K132)</f>
        <v>0.5364860840621466</v>
      </c>
    </row>
    <row r="135" spans="2:11" x14ac:dyDescent="0.25">
      <c r="G135" s="41"/>
      <c r="H135" s="79"/>
      <c r="I135" s="79"/>
      <c r="J135" s="79"/>
      <c r="K135" s="79"/>
    </row>
    <row r="136" spans="2:11" x14ac:dyDescent="0.25">
      <c r="B136" s="8" t="s">
        <v>122</v>
      </c>
      <c r="G136" s="41"/>
      <c r="H136" s="79"/>
      <c r="I136" s="79"/>
      <c r="J136" s="79"/>
      <c r="K136" s="79"/>
    </row>
    <row r="137" spans="2:11" ht="18" x14ac:dyDescent="0.35">
      <c r="B137" t="s">
        <v>126</v>
      </c>
      <c r="E137" t="s">
        <v>123</v>
      </c>
      <c r="F137" s="35" t="s">
        <v>5</v>
      </c>
      <c r="G137" s="65">
        <f>VLOOKUP(G44,$K$245:$L$247,2)*G46</f>
        <v>20.622229927616946</v>
      </c>
      <c r="H137" s="96">
        <f>VLOOKUP(H44,$K$245:$L$247,2)*H46</f>
        <v>20.622229927616946</v>
      </c>
      <c r="I137" s="96">
        <f>VLOOKUP(I44,$K$245:$L$247,2)*I46</f>
        <v>20.622229927616946</v>
      </c>
      <c r="J137" s="96">
        <f>VLOOKUP(J44,$K$245:$L$247,2)*J46</f>
        <v>20.622229927616946</v>
      </c>
      <c r="K137" s="96">
        <f>VLOOKUP(K44,$K$245:$L$247,2)*K46</f>
        <v>20.622229927616946</v>
      </c>
    </row>
    <row r="138" spans="2:11" ht="18.75" x14ac:dyDescent="0.35">
      <c r="B138" t="s">
        <v>124</v>
      </c>
      <c r="E138" t="s">
        <v>125</v>
      </c>
      <c r="G138" s="58">
        <f>(G53/G137)*(1-2*G59/100)</f>
        <v>14.765619482896886</v>
      </c>
      <c r="H138" s="89">
        <f>(H53/H137)*(1-2*H59/100)</f>
        <v>14.765619482896886</v>
      </c>
      <c r="I138" s="89">
        <f>(I53/I137)*(1-2*I59/100)</f>
        <v>14.765619482896886</v>
      </c>
      <c r="J138" s="89">
        <f>(J53/J137)*(1-2*J59/100)</f>
        <v>14.765619482896886</v>
      </c>
      <c r="K138" s="89">
        <f>(K53/K137)*(1-2*K59/100)</f>
        <v>14.765619482896886</v>
      </c>
    </row>
    <row r="139" spans="2:11" ht="18.75" x14ac:dyDescent="0.35">
      <c r="B139" t="s">
        <v>127</v>
      </c>
      <c r="E139" t="s">
        <v>128</v>
      </c>
      <c r="G139" s="59">
        <f>G62/G138</f>
        <v>0.13544978605988142</v>
      </c>
      <c r="H139" s="90">
        <f>H62/H138</f>
        <v>0.13544978605988142</v>
      </c>
      <c r="I139" s="90">
        <f>I62/I138</f>
        <v>0.13544978605988142</v>
      </c>
      <c r="J139" s="90">
        <f>J62/J138</f>
        <v>0.13544978605988142</v>
      </c>
      <c r="K139" s="90">
        <f>K62/K138</f>
        <v>0.13544978605988142</v>
      </c>
    </row>
    <row r="140" spans="2:11" ht="18.75" x14ac:dyDescent="0.35">
      <c r="B140" t="s">
        <v>129</v>
      </c>
      <c r="E140" t="s">
        <v>130</v>
      </c>
      <c r="F140" s="35" t="s">
        <v>292</v>
      </c>
      <c r="G140" s="59">
        <f>(G56/1000)*(G53-G55-G40/2)/1000</f>
        <v>1.4086799999999903E-3</v>
      </c>
      <c r="H140" s="90">
        <f>(H56/1000)*(H53-H55-H40/2)/1000</f>
        <v>1.4086799999999903E-3</v>
      </c>
      <c r="I140" s="90">
        <f>(I56/1000)*(I53-I55-I40/2)/1000</f>
        <v>1.4086799999999903E-3</v>
      </c>
      <c r="J140" s="90">
        <f>(J56/1000)*(J53-J55-J40/2)/1000</f>
        <v>1.4086799999999903E-3</v>
      </c>
      <c r="K140" s="90">
        <f>(K56/1000)*(K53-K55-K40/2)/1000</f>
        <v>1.4086799999999903E-3</v>
      </c>
    </row>
    <row r="141" spans="2:11" ht="18.75" x14ac:dyDescent="0.35">
      <c r="B141" t="s">
        <v>131</v>
      </c>
      <c r="E141" t="s">
        <v>132</v>
      </c>
      <c r="G141" s="63">
        <f>IF(G113&lt;100,1.35,1.25)</f>
        <v>1.25</v>
      </c>
      <c r="H141" s="94">
        <f>IF(H113&lt;100,1.35,1.25)</f>
        <v>1.25</v>
      </c>
      <c r="I141" s="94">
        <f t="shared" ref="I141:K141" si="32">IF(I113&lt;100,1.35,1.25)</f>
        <v>1.25</v>
      </c>
      <c r="J141" s="94">
        <f t="shared" si="32"/>
        <v>1.25</v>
      </c>
      <c r="K141" s="94">
        <f t="shared" si="32"/>
        <v>1.25</v>
      </c>
    </row>
    <row r="142" spans="2:11" ht="18.75" x14ac:dyDescent="0.35">
      <c r="B142" t="s">
        <v>133</v>
      </c>
      <c r="E142" s="5" t="s">
        <v>134</v>
      </c>
      <c r="G142" s="59">
        <f>IF(G139&gt;=0.5,1,EXP(-1*G141*(G140/G111)*(1-(2*G139)^(1/3))))</f>
        <v>0.97984214770861533</v>
      </c>
      <c r="H142" s="90">
        <f>IF(H139&gt;=0.5,1,EXP(-1*H141*(H140/H111)*(1-(2*H139)^(1/3))))</f>
        <v>0.97984214770861533</v>
      </c>
      <c r="I142" s="90">
        <f t="shared" ref="I142:K142" si="33">IF(I139&gt;=0.5,1,EXP(-1*I141*(I140/I111)*(1-(2*I139)^(1/3))))</f>
        <v>0.97984214770861533</v>
      </c>
      <c r="J142" s="90">
        <f t="shared" si="33"/>
        <v>0.97984214770861533</v>
      </c>
      <c r="K142" s="90">
        <f t="shared" si="33"/>
        <v>0.97984214770861533</v>
      </c>
    </row>
    <row r="143" spans="2:11" x14ac:dyDescent="0.25">
      <c r="G143" s="41"/>
      <c r="H143" s="79"/>
      <c r="I143" s="79"/>
      <c r="J143" s="79"/>
      <c r="K143" s="79"/>
    </row>
    <row r="144" spans="2:11" x14ac:dyDescent="0.25">
      <c r="B144" s="8" t="s">
        <v>135</v>
      </c>
      <c r="G144" s="41"/>
      <c r="H144" s="79"/>
      <c r="I144" s="79"/>
      <c r="J144" s="79"/>
      <c r="K144" s="79"/>
    </row>
    <row r="145" spans="2:11" ht="18.75" x14ac:dyDescent="0.35">
      <c r="B145" t="s">
        <v>136</v>
      </c>
      <c r="E145" t="s">
        <v>137</v>
      </c>
      <c r="G145" s="65">
        <f>(0.8/G137)*(G53*G59/100-(G53-(G55-G40))/2)</f>
        <v>5.23522433698691</v>
      </c>
      <c r="H145" s="96">
        <f>(0.8/H137)*(H53*H59/100-(H53-(H55-H40))/2)</f>
        <v>5.23522433698691</v>
      </c>
      <c r="I145" s="96">
        <f>(0.8/I137)*(I53*I59/100-(I53-(I55-I40))/2)</f>
        <v>5.23522433698691</v>
      </c>
      <c r="J145" s="96">
        <f>(0.8/J137)*(J53*J59/100-(J53-(J55-J40))/2)</f>
        <v>5.23522433698691</v>
      </c>
      <c r="K145" s="96">
        <f>(0.8/K137)*(K53*K59/100-(K53-(K55-K40))/2)</f>
        <v>5.23522433698691</v>
      </c>
    </row>
    <row r="146" spans="2:11" ht="18.75" x14ac:dyDescent="0.35">
      <c r="B146" t="s">
        <v>138</v>
      </c>
      <c r="E146" t="s">
        <v>139</v>
      </c>
      <c r="G146" s="58">
        <f>1 +INT( (G39-2*G64/1000-(G57+G58)/1000)/(G56/1000))</f>
        <v>16</v>
      </c>
      <c r="H146" s="89">
        <f>1 +INT( (H39-2*H64/1000-(H57+H58)/1000)/(H56/1000))</f>
        <v>15</v>
      </c>
      <c r="I146" s="89">
        <f>1 +INT( (I39-2*I64/1000-(I57+I58)/1000)/(I56/1000))</f>
        <v>16</v>
      </c>
      <c r="J146" s="89">
        <f>1 +INT( (J39-2*J64/1000-(J57+J58)/1000)/(J56/1000))</f>
        <v>16</v>
      </c>
      <c r="K146" s="89">
        <f>1 +INT( (K39-2*K64/1000-(K57+K58)/1000)/(K56/1000))</f>
        <v>19</v>
      </c>
    </row>
    <row r="147" spans="2:11" ht="18.75" x14ac:dyDescent="0.35">
      <c r="B147" t="s">
        <v>140</v>
      </c>
      <c r="E147" t="s">
        <v>141</v>
      </c>
      <c r="G147" s="57">
        <f>(G145+G138)*(1+G146)</f>
        <v>340.01434493802458</v>
      </c>
      <c r="H147" s="88">
        <f>(H145+H138)*(1+H146)</f>
        <v>320.01350111814077</v>
      </c>
      <c r="I147" s="88">
        <f t="shared" ref="I147:K147" si="34">(I145+I138)*(1+I146)</f>
        <v>340.01434493802458</v>
      </c>
      <c r="J147" s="88">
        <f t="shared" si="34"/>
        <v>340.01434493802458</v>
      </c>
      <c r="K147" s="88">
        <f t="shared" si="34"/>
        <v>400.01687639767596</v>
      </c>
    </row>
    <row r="148" spans="2:11" ht="18.75" x14ac:dyDescent="0.35">
      <c r="B148" t="s">
        <v>142</v>
      </c>
      <c r="E148" t="s">
        <v>143</v>
      </c>
      <c r="G148" s="57">
        <f>(10/G147)^0.18</f>
        <v>0.53006666959963322</v>
      </c>
      <c r="H148" s="88">
        <f>(10/H147)^0.18</f>
        <v>0.53588266164253617</v>
      </c>
      <c r="I148" s="88">
        <f t="shared" ref="I148:K148" si="35">(10/I147)^0.18</f>
        <v>0.53006666959963322</v>
      </c>
      <c r="J148" s="88">
        <f t="shared" si="35"/>
        <v>0.53006666959963322</v>
      </c>
      <c r="K148" s="88">
        <f t="shared" si="35"/>
        <v>0.51478502329636355</v>
      </c>
    </row>
    <row r="149" spans="2:11" ht="18.75" x14ac:dyDescent="0.35">
      <c r="B149" t="s">
        <v>144</v>
      </c>
      <c r="E149" t="s">
        <v>145</v>
      </c>
      <c r="G149" s="59">
        <f>IF(G113&lt;=20,G148,IF(G113&lt;=100,(G148+((20-G113)/80)*(G148-1)),1))</f>
        <v>1</v>
      </c>
      <c r="H149" s="90">
        <f>IF(H113&lt;=20,H148,IF(H113&lt;=100,(H148+((20-H113)/80)*(H148-1)),1))</f>
        <v>1</v>
      </c>
      <c r="I149" s="90">
        <f t="shared" ref="I149:K149" si="36">IF(I113&lt;=20,I148,IF(I113&lt;=100,(I148+((20-I113)/80)*(I148-1)),1))</f>
        <v>1</v>
      </c>
      <c r="J149" s="90">
        <f t="shared" si="36"/>
        <v>1</v>
      </c>
      <c r="K149" s="90">
        <f t="shared" si="36"/>
        <v>1</v>
      </c>
    </row>
    <row r="150" spans="2:11" x14ac:dyDescent="0.25">
      <c r="G150" s="41"/>
      <c r="H150" s="79"/>
      <c r="I150" s="79"/>
      <c r="J150" s="79"/>
      <c r="K150" s="79"/>
    </row>
    <row r="151" spans="2:11" x14ac:dyDescent="0.25">
      <c r="B151" s="8" t="s">
        <v>146</v>
      </c>
      <c r="G151" s="41"/>
      <c r="H151" s="79"/>
      <c r="I151" s="79"/>
      <c r="J151" s="79"/>
      <c r="K151" s="79"/>
    </row>
    <row r="152" spans="2:11" x14ac:dyDescent="0.25">
      <c r="B152" t="s">
        <v>148</v>
      </c>
      <c r="E152" t="s">
        <v>147</v>
      </c>
      <c r="G152" s="66">
        <f>IF(G113&lt;100,1/3,0.6)</f>
        <v>0.6</v>
      </c>
      <c r="H152" s="97">
        <f>IF(H113&lt;100,1/3,0.6)</f>
        <v>0.6</v>
      </c>
      <c r="I152" s="97">
        <f t="shared" ref="I152:K152" si="37">IF(I113&lt;100,1/3,0.6)</f>
        <v>0.6</v>
      </c>
      <c r="J152" s="97">
        <f t="shared" si="37"/>
        <v>0.6</v>
      </c>
      <c r="K152" s="97">
        <f t="shared" si="37"/>
        <v>0.6</v>
      </c>
    </row>
    <row r="153" spans="2:11" ht="18.75" x14ac:dyDescent="0.35">
      <c r="B153" t="s">
        <v>144</v>
      </c>
      <c r="E153" t="s">
        <v>149</v>
      </c>
      <c r="G153" s="59">
        <f>((G146-1)+(G57/G56)^(1-G152)+(G58/G56)^(1-G152))/((G146-1)+(G57/G56)+(G58/G56))</f>
        <v>1</v>
      </c>
      <c r="H153" s="90">
        <f>((H146-1)+(H57/H56)^(1-H152)+(H58/H56)^(1-H152))/((H146-1)+(H57/H56)+(H58/H56))</f>
        <v>1</v>
      </c>
      <c r="I153" s="90">
        <f>((I146-1)+(I57/I56)^(1-I152)+(I58/I56)^(1-I152))/((I146-1)+(I57/I56)+(I58/I56))</f>
        <v>1</v>
      </c>
      <c r="J153" s="90">
        <f>((J146-1)+(J57/J56)^(1-J152)+(J58/J56)^(1-J152))/((J146-1)+(J57/J56)+(J58/J56))</f>
        <v>1</v>
      </c>
      <c r="K153" s="90">
        <f>((K146-1)+(K57/K56)^(1-K152)+(K58/K56)^(1-K152))/((K146-1)+(K57/K56)+(K58/K56))</f>
        <v>1</v>
      </c>
    </row>
    <row r="154" spans="2:11" x14ac:dyDescent="0.25">
      <c r="G154" s="41"/>
      <c r="H154" s="79"/>
      <c r="I154" s="79"/>
      <c r="J154" s="79"/>
      <c r="K154" s="79"/>
    </row>
    <row r="155" spans="2:11" ht="18.75" x14ac:dyDescent="0.35">
      <c r="B155" s="8" t="s">
        <v>150</v>
      </c>
      <c r="E155" t="s">
        <v>151</v>
      </c>
      <c r="F155" s="35" t="s">
        <v>293</v>
      </c>
      <c r="G155" s="67">
        <f>G121*G126*G134*G142*G149*G153</f>
        <v>1403.2871913523029</v>
      </c>
      <c r="H155" s="98">
        <f>H121*H126*H134*H142*H149*H153</f>
        <v>1403.2871913523029</v>
      </c>
      <c r="I155" s="98">
        <f t="shared" ref="I155:K155" si="38">I121*I126*I134*I142*I149*I153</f>
        <v>1403.2871913523029</v>
      </c>
      <c r="J155" s="98">
        <f t="shared" si="38"/>
        <v>1403.2871913523029</v>
      </c>
      <c r="K155" s="98">
        <f t="shared" si="38"/>
        <v>1403.2871913523029</v>
      </c>
    </row>
    <row r="156" spans="2:11" x14ac:dyDescent="0.25">
      <c r="G156" s="41"/>
      <c r="H156" s="79"/>
      <c r="I156" s="79"/>
      <c r="J156" s="79"/>
      <c r="K156" s="79"/>
    </row>
    <row r="157" spans="2:11" x14ac:dyDescent="0.25">
      <c r="B157" s="4" t="s">
        <v>152</v>
      </c>
      <c r="G157" s="41"/>
      <c r="H157" s="79"/>
      <c r="I157" s="79"/>
      <c r="J157" s="79"/>
      <c r="K157" s="79"/>
    </row>
    <row r="158" spans="2:11" ht="18.75" x14ac:dyDescent="0.35">
      <c r="B158" t="s">
        <v>158</v>
      </c>
      <c r="E158" t="s">
        <v>153</v>
      </c>
      <c r="F158" s="35" t="s">
        <v>292</v>
      </c>
      <c r="G158" s="68">
        <f>(PI()*(G43/1000)^2/4)*G38/G37</f>
        <v>3.577476389289691E-2</v>
      </c>
      <c r="H158" s="99">
        <f>(PI()*(H43/1000)^2/4)*H38/H37</f>
        <v>3.577476389289691E-2</v>
      </c>
      <c r="I158" s="99">
        <f>(PI()*(I43/1000)^2/4)*I38/I37</f>
        <v>3.577476389289691E-2</v>
      </c>
      <c r="J158" s="99">
        <f>(PI()*(J43/1000)^2/4)*J38/J37</f>
        <v>3.577476389289691E-2</v>
      </c>
      <c r="K158" s="99">
        <f>(PI()*(K43/1000)^2/4)*K38/K37</f>
        <v>3.577476389289691E-2</v>
      </c>
    </row>
    <row r="159" spans="2:11" x14ac:dyDescent="0.25">
      <c r="B159" t="s">
        <v>154</v>
      </c>
      <c r="E159" t="s">
        <v>155</v>
      </c>
      <c r="F159" s="35" t="s">
        <v>156</v>
      </c>
      <c r="G159" s="59">
        <f>((G86/3600)/G89)/G158</f>
        <v>1.6120337522543244</v>
      </c>
      <c r="H159" s="90">
        <f>((H86/3600)/H89)/H158</f>
        <v>1.6120337522543244</v>
      </c>
      <c r="I159" s="90">
        <f t="shared" ref="I159:K159" si="39">((I86/3600)/I89)/I158</f>
        <v>1.6120337522543244</v>
      </c>
      <c r="J159" s="90">
        <f t="shared" si="39"/>
        <v>1.6120337522543244</v>
      </c>
      <c r="K159" s="90">
        <f t="shared" si="39"/>
        <v>1.6120337522543244</v>
      </c>
    </row>
    <row r="160" spans="2:11" ht="18.75" x14ac:dyDescent="0.35">
      <c r="B160" t="s">
        <v>72</v>
      </c>
      <c r="E160" t="s">
        <v>157</v>
      </c>
      <c r="G160" s="58">
        <f>(G43/1000)*G89*G159/(G90/1000)</f>
        <v>86385.382609898094</v>
      </c>
      <c r="H160" s="89">
        <f>(H43/1000)*H89*H159/(H90/1000)</f>
        <v>86385.382609898094</v>
      </c>
      <c r="I160" s="89">
        <f>(I43/1000)*I89*I159/(I90/1000)</f>
        <v>86385.382609898094</v>
      </c>
      <c r="J160" s="89">
        <f>(J43/1000)*J89*J159/(J90/1000)</f>
        <v>86385.382609898094</v>
      </c>
      <c r="K160" s="89">
        <f>(K43/1000)*K89*K159/(K90/1000)</f>
        <v>86385.382609898094</v>
      </c>
    </row>
    <row r="161" spans="2:11" ht="18.75" x14ac:dyDescent="0.35">
      <c r="B161" t="s">
        <v>78</v>
      </c>
      <c r="E161" t="s">
        <v>202</v>
      </c>
      <c r="G161" s="59">
        <f>G91*(G90/1000)/G92*3600</f>
        <v>4.5360000000000005</v>
      </c>
      <c r="H161" s="90">
        <f>H91*(H90/1000)/H92*3600</f>
        <v>4.5360000000000005</v>
      </c>
      <c r="I161" s="90">
        <f t="shared" ref="I161:K161" si="40">I91*(I90/1000)/I92*3600</f>
        <v>4.5360000000000005</v>
      </c>
      <c r="J161" s="90">
        <f t="shared" si="40"/>
        <v>4.5360000000000005</v>
      </c>
      <c r="K161" s="90">
        <f t="shared" si="40"/>
        <v>4.5360000000000005</v>
      </c>
    </row>
    <row r="162" spans="2:11" ht="18.75" x14ac:dyDescent="0.35">
      <c r="B162" t="s">
        <v>203</v>
      </c>
      <c r="E162" t="s">
        <v>204</v>
      </c>
      <c r="F162" s="35" t="s">
        <v>21</v>
      </c>
      <c r="G162" s="59">
        <f>G39-2*G64/1000</f>
        <v>4.1452</v>
      </c>
      <c r="H162" s="90">
        <f>H39-2*H64/1000</f>
        <v>3.8782000000000001</v>
      </c>
      <c r="I162" s="90">
        <f>I39-2*I64/1000</f>
        <v>3.9781999999999997</v>
      </c>
      <c r="J162" s="90">
        <f>J39-2*J64/1000</f>
        <v>4.0781999999999998</v>
      </c>
      <c r="K162" s="90">
        <f>K39-2*K64/1000</f>
        <v>4.8781999999999996</v>
      </c>
    </row>
    <row r="163" spans="2:11" x14ac:dyDescent="0.25">
      <c r="B163" t="s">
        <v>205</v>
      </c>
      <c r="G163" s="69"/>
      <c r="H163" s="79"/>
      <c r="I163" s="79"/>
      <c r="J163" s="79"/>
      <c r="K163" s="79"/>
    </row>
    <row r="164" spans="2:11" ht="18.75" x14ac:dyDescent="0.35">
      <c r="B164" t="s">
        <v>206</v>
      </c>
      <c r="E164" t="s">
        <v>207</v>
      </c>
      <c r="G164" s="55">
        <f>1.86*(G160*G161*(G43/1000)/G162)^(1/3)</f>
        <v>20.818765575545637</v>
      </c>
      <c r="H164" s="86">
        <f>1.86*(H160*H161*(H43/1000)/H162)^(1/3)</f>
        <v>21.285967959864312</v>
      </c>
      <c r="I164" s="86">
        <f>1.86*(I160*I161*(I43/1000)/I162)^(1/3)</f>
        <v>21.106097194907285</v>
      </c>
      <c r="J164" s="86">
        <f>1.86*(J160*J161*(J43/1000)/J162)^(1/3)</f>
        <v>20.932156094189594</v>
      </c>
      <c r="K164" s="86">
        <f>1.86*(K160*K161*(K43/1000)/K162)^(1/3)</f>
        <v>19.718941753081371</v>
      </c>
    </row>
    <row r="165" spans="2:11" x14ac:dyDescent="0.25">
      <c r="B165" t="s">
        <v>208</v>
      </c>
      <c r="E165" t="s">
        <v>162</v>
      </c>
      <c r="G165" s="56">
        <f>(1.58*LN(G160)-3.28)^-2</f>
        <v>4.6408338617418806E-3</v>
      </c>
      <c r="H165" s="87">
        <f>(1.58*LN(H160)-3.28)^-2</f>
        <v>4.6408338617418806E-3</v>
      </c>
      <c r="I165" s="87">
        <f t="shared" ref="I165:K165" si="41">(1.58*LN(I160)-3.28)^-2</f>
        <v>4.6408338617418806E-3</v>
      </c>
      <c r="J165" s="87">
        <f t="shared" si="41"/>
        <v>4.6408338617418806E-3</v>
      </c>
      <c r="K165" s="87">
        <f t="shared" si="41"/>
        <v>4.6408338617418806E-3</v>
      </c>
    </row>
    <row r="166" spans="2:11" ht="18.75" x14ac:dyDescent="0.35">
      <c r="E166" t="s">
        <v>209</v>
      </c>
      <c r="G166" s="57">
        <f>(G165/2)*G160*G161/(1.07+12.7*(G165/2)^0.5*(G161^(2/3)-1))</f>
        <v>425.95457819071021</v>
      </c>
      <c r="H166" s="88">
        <f>(H165/2)*H160*H161/(1.07+12.7*(H165/2)^0.5*(H161^(2/3)-1))</f>
        <v>425.95457819071021</v>
      </c>
      <c r="I166" s="88">
        <f t="shared" ref="I166:K166" si="42">(I165/2)*I160*I161/(1.07+12.7*(I165/2)^0.5*(I161^(2/3)-1))</f>
        <v>425.95457819071021</v>
      </c>
      <c r="J166" s="88">
        <f t="shared" si="42"/>
        <v>425.95457819071021</v>
      </c>
      <c r="K166" s="88">
        <f t="shared" si="42"/>
        <v>425.95457819071021</v>
      </c>
    </row>
    <row r="167" spans="2:11" ht="18.75" x14ac:dyDescent="0.35">
      <c r="B167" t="s">
        <v>210</v>
      </c>
      <c r="E167" t="s">
        <v>212</v>
      </c>
      <c r="G167" s="57">
        <f>1.86*(2300*G161*(G43/1000)/G162)^(1/3)</f>
        <v>6.2165700713111773</v>
      </c>
      <c r="H167" s="88">
        <f>1.86*(2300*H161*(H43/1000)/H162)^(1/3)</f>
        <v>6.3560786482756182</v>
      </c>
      <c r="I167" s="88">
        <f>1.86*(2300*I161*(I43/1000)/I162)^(1/3)</f>
        <v>6.3023684890407621</v>
      </c>
      <c r="J167" s="88">
        <f>1.86*(2300*J161*(J43/1000)/J162)^(1/3)</f>
        <v>6.2504289522335155</v>
      </c>
      <c r="K167" s="88">
        <f>1.86*(2300*K161*(K43/1000)/K162)^(1/3)</f>
        <v>5.8881580992546994</v>
      </c>
    </row>
    <row r="168" spans="2:11" ht="18.75" x14ac:dyDescent="0.35">
      <c r="E168" t="s">
        <v>214</v>
      </c>
      <c r="G168" s="56">
        <f>(1.58*LN(10000)-3.28)^-2</f>
        <v>7.8699506891866718E-3</v>
      </c>
      <c r="H168" s="87">
        <f>(1.58*LN(10000)-3.28)^-2</f>
        <v>7.8699506891866718E-3</v>
      </c>
      <c r="I168" s="87">
        <f t="shared" ref="I168:K168" si="43">(1.58*LN(10000)-3.28)^-2</f>
        <v>7.8699506891866718E-3</v>
      </c>
      <c r="J168" s="87">
        <f t="shared" si="43"/>
        <v>7.8699506891866718E-3</v>
      </c>
      <c r="K168" s="87">
        <f t="shared" si="43"/>
        <v>7.8699506891866718E-3</v>
      </c>
    </row>
    <row r="169" spans="2:11" ht="18.75" x14ac:dyDescent="0.35">
      <c r="E169" t="s">
        <v>213</v>
      </c>
      <c r="G169" s="58">
        <f>(G168/2)*10000*G161/(1.07+12.7*(G168/2)^0.5*(G161^(2/3)-1))</f>
        <v>72.66486157571444</v>
      </c>
      <c r="H169" s="89">
        <f>(H168/2)*10000*H161/(1.07+12.7*(H168/2)^0.5*(H161^(2/3)-1))</f>
        <v>72.66486157571444</v>
      </c>
      <c r="I169" s="89">
        <f t="shared" ref="I169:K169" si="44">(I168/2)*10000*I161/(1.07+12.7*(I168/2)^0.5*(I161^(2/3)-1))</f>
        <v>72.66486157571444</v>
      </c>
      <c r="J169" s="89">
        <f t="shared" si="44"/>
        <v>72.66486157571444</v>
      </c>
      <c r="K169" s="89">
        <f t="shared" si="44"/>
        <v>72.66486157571444</v>
      </c>
    </row>
    <row r="170" spans="2:11" ht="18" x14ac:dyDescent="0.35">
      <c r="E170" t="s">
        <v>215</v>
      </c>
      <c r="G170" s="57">
        <f>G167+(G169-G167)*(G160-2300)/(10000-2300)</f>
        <v>731.84384473647856</v>
      </c>
      <c r="H170" s="88">
        <f>H167+(H169-H167)*(H160-2300)/(10000-2300)</f>
        <v>730.45989460286933</v>
      </c>
      <c r="I170" s="88">
        <f t="shared" ref="I170:K170" si="45">I167+(I169-I167)*(I160-2300)/(10000-2300)</f>
        <v>730.99270902666069</v>
      </c>
      <c r="J170" s="88">
        <f t="shared" si="45"/>
        <v>731.50795855803756</v>
      </c>
      <c r="K170" s="88">
        <f t="shared" si="45"/>
        <v>735.10175046884297</v>
      </c>
    </row>
    <row r="171" spans="2:11" ht="18" x14ac:dyDescent="0.35">
      <c r="B171" t="s">
        <v>216</v>
      </c>
      <c r="E171" t="s">
        <v>211</v>
      </c>
      <c r="G171" s="57">
        <f>IF(G160&lt;=2300,G164,IF(G160&lt;10000,G170,G166))</f>
        <v>425.95457819071021</v>
      </c>
      <c r="H171" s="88">
        <f>IF(H160&lt;=2300,H164,IF(H160&lt;10000,H170,H166))</f>
        <v>425.95457819071021</v>
      </c>
      <c r="I171" s="88">
        <f t="shared" ref="I171:K171" si="46">IF(I160&lt;=2300,I164,IF(I160&lt;10000,I170,I166))</f>
        <v>425.95457819071021</v>
      </c>
      <c r="J171" s="88">
        <f t="shared" si="46"/>
        <v>425.95457819071021</v>
      </c>
      <c r="K171" s="88">
        <f t="shared" si="46"/>
        <v>425.95457819071021</v>
      </c>
    </row>
    <row r="172" spans="2:11" ht="18.75" x14ac:dyDescent="0.35">
      <c r="B172" s="9" t="s">
        <v>217</v>
      </c>
      <c r="E172" t="s">
        <v>218</v>
      </c>
      <c r="F172" s="35" t="s">
        <v>293</v>
      </c>
      <c r="G172" s="62">
        <f>G171*G92/(G43/1000)*(G90/G93)^0.14</f>
        <v>2297.1798742926262</v>
      </c>
      <c r="H172" s="93">
        <f>H171*H92/(H43/1000)*(H90/H93)^0.14</f>
        <v>2297.1798742926262</v>
      </c>
      <c r="I172" s="93">
        <f>I171*I92/(I43/1000)*(I90/I93)^0.14</f>
        <v>2297.1798742926262</v>
      </c>
      <c r="J172" s="93">
        <f>J171*J92/(J43/1000)*(J90/J93)^0.14</f>
        <v>2297.1798742926262</v>
      </c>
      <c r="K172" s="93">
        <f>K171*K92/(K43/1000)*(K90/K93)^0.14</f>
        <v>2297.1798742926262</v>
      </c>
    </row>
    <row r="173" spans="2:11" x14ac:dyDescent="0.25">
      <c r="F173" s="35"/>
      <c r="G173" s="51"/>
      <c r="H173" s="79"/>
      <c r="I173" s="79"/>
      <c r="J173" s="79"/>
      <c r="K173" s="79"/>
    </row>
    <row r="174" spans="2:11" x14ac:dyDescent="0.25">
      <c r="B174" s="4" t="s">
        <v>226</v>
      </c>
      <c r="F174" s="35"/>
      <c r="G174" s="51"/>
      <c r="H174" s="79"/>
      <c r="I174" s="79"/>
      <c r="J174" s="79"/>
      <c r="K174" s="79"/>
    </row>
    <row r="175" spans="2:11" x14ac:dyDescent="0.25">
      <c r="B175" s="7" t="s">
        <v>254</v>
      </c>
      <c r="E175" t="s">
        <v>255</v>
      </c>
      <c r="F175" s="36" t="s">
        <v>48</v>
      </c>
      <c r="G175" s="55">
        <f>(G87+G88)/2+G155*((G99+G100)/2-(G87+G88)/2)/(G155+G172)</f>
        <v>77.659244966570995</v>
      </c>
      <c r="H175" s="86">
        <f>(H87+H88)/2+H155*((H99+H100)/2-(H87+H88)/2)/(H155+H172)</f>
        <v>77.659244966570995</v>
      </c>
      <c r="I175" s="86">
        <f t="shared" ref="I175:K175" si="47">(I87+I88)/2+I155*((I99+I100)/2-(I87+I88)/2)/(I155+I172)</f>
        <v>77.659244966570995</v>
      </c>
      <c r="J175" s="86">
        <f t="shared" si="47"/>
        <v>77.659244966570995</v>
      </c>
      <c r="K175" s="86">
        <f t="shared" si="47"/>
        <v>77.659244966570995</v>
      </c>
    </row>
    <row r="176" spans="2:11" x14ac:dyDescent="0.25">
      <c r="B176" s="7" t="s">
        <v>229</v>
      </c>
      <c r="E176" t="s">
        <v>248</v>
      </c>
      <c r="F176" s="35" t="s">
        <v>295</v>
      </c>
      <c r="G176" s="57">
        <f>VLOOKUP(G47,$K$250:$M$255,3)</f>
        <v>38.69</v>
      </c>
      <c r="H176" s="88">
        <f>VLOOKUP(H47,$K$250:$M$255,3)</f>
        <v>38.69</v>
      </c>
      <c r="I176" s="88">
        <f>VLOOKUP(I47,$K$250:$M$255,3)</f>
        <v>38.69</v>
      </c>
      <c r="J176" s="88">
        <f>VLOOKUP(J47,$K$250:$M$255,3)</f>
        <v>38.69</v>
      </c>
      <c r="K176" s="88">
        <f>VLOOKUP(K47,$K$250:$M$255,3)</f>
        <v>38.69</v>
      </c>
    </row>
    <row r="177" spans="2:11" x14ac:dyDescent="0.25">
      <c r="B177" t="s">
        <v>227</v>
      </c>
      <c r="E177" t="s">
        <v>228</v>
      </c>
      <c r="F177" s="35" t="s">
        <v>291</v>
      </c>
      <c r="G177" s="70">
        <f>(G40/2000)*LN(G40/G43)/G176</f>
        <v>6.1582672135195761E-5</v>
      </c>
      <c r="H177" s="100">
        <f>(H40/2000)*LN(H40/H43)/H176</f>
        <v>6.1582672135195761E-5</v>
      </c>
      <c r="I177" s="100">
        <f>(I40/2000)*LN(I40/I43)/I176</f>
        <v>6.1582672135195761E-5</v>
      </c>
      <c r="J177" s="100">
        <f>(J40/2000)*LN(J40/J43)/J176</f>
        <v>6.1582672135195761E-5</v>
      </c>
      <c r="K177" s="100">
        <f>(K40/2000)*LN(K40/K43)/K176</f>
        <v>6.1582672135195761E-5</v>
      </c>
    </row>
    <row r="178" spans="2:11" ht="18.75" x14ac:dyDescent="0.35">
      <c r="B178" t="s">
        <v>230</v>
      </c>
      <c r="E178" t="s">
        <v>231</v>
      </c>
      <c r="F178" s="35" t="s">
        <v>293</v>
      </c>
      <c r="G178" s="57">
        <f>1/(1/G155+(G40/G43)/G172+G177)</f>
        <v>750.05607224121025</v>
      </c>
      <c r="H178" s="88">
        <f>1/(1/H155+(H40/H43)/H172+H177)</f>
        <v>750.05607224121025</v>
      </c>
      <c r="I178" s="88">
        <f>1/(1/I155+(I40/I43)/I172+I177)</f>
        <v>750.05607224121025</v>
      </c>
      <c r="J178" s="88">
        <f>1/(1/J155+(J40/J43)/J172+J177)</f>
        <v>750.05607224121025</v>
      </c>
      <c r="K178" s="88">
        <f>1/(1/K155+(K40/K43)/K172+K177)</f>
        <v>750.05607224121025</v>
      </c>
    </row>
    <row r="179" spans="2:11" ht="18.75" x14ac:dyDescent="0.35">
      <c r="B179" t="s">
        <v>232</v>
      </c>
      <c r="E179" t="s">
        <v>233</v>
      </c>
      <c r="F179" s="35" t="s">
        <v>293</v>
      </c>
      <c r="G179" s="57">
        <f>1/(1/G178+G95+G107)</f>
        <v>447.78117907842142</v>
      </c>
      <c r="H179" s="88">
        <f>1/(1/H178+H95+H107)</f>
        <v>447.78117907842142</v>
      </c>
      <c r="I179" s="88">
        <f t="shared" ref="I179:K179" si="48">1/(1/I178+I95+I107)</f>
        <v>447.78117907842142</v>
      </c>
      <c r="J179" s="88">
        <f t="shared" si="48"/>
        <v>447.78117907842142</v>
      </c>
      <c r="K179" s="88">
        <f t="shared" si="48"/>
        <v>447.78117907842142</v>
      </c>
    </row>
    <row r="180" spans="2:11" x14ac:dyDescent="0.25">
      <c r="G180" s="41"/>
      <c r="H180" s="79"/>
      <c r="I180" s="79"/>
      <c r="J180" s="79"/>
      <c r="K180" s="79"/>
    </row>
    <row r="181" spans="2:11" x14ac:dyDescent="0.25">
      <c r="B181" s="4" t="s">
        <v>159</v>
      </c>
      <c r="G181" s="41"/>
      <c r="H181" s="79"/>
      <c r="I181" s="79"/>
      <c r="J181" s="79"/>
      <c r="K181" s="79"/>
    </row>
    <row r="182" spans="2:11" x14ac:dyDescent="0.25">
      <c r="B182" s="8" t="s">
        <v>160</v>
      </c>
      <c r="G182" s="41"/>
      <c r="H182" s="72"/>
      <c r="I182" s="72"/>
      <c r="J182" s="72"/>
      <c r="K182" s="72"/>
    </row>
    <row r="183" spans="2:11" x14ac:dyDescent="0.25">
      <c r="B183" s="7" t="s">
        <v>164</v>
      </c>
      <c r="E183" t="s">
        <v>87</v>
      </c>
      <c r="G183" s="66">
        <f>IF(G$44=30,VLOOKUP(G$113,$C$263:$K$267,6),IF(G$44=45,VLOOKUP(G$113,$C$268:$K$272,6),VLOOKUP(G$113,$C$273:$K$277,6)))</f>
        <v>0.372</v>
      </c>
      <c r="H183" s="97">
        <f>IF(H$44=30,VLOOKUP(H$113,$C$263:$K$267,6),IF(H$44=45,VLOOKUP(H$113,$C$268:$K$272,6),VLOOKUP(H$113,$C$273:$K$277,6)))</f>
        <v>0.372</v>
      </c>
      <c r="I183" s="97">
        <f>IF(I$44=30,VLOOKUP(I$113,$C$263:$K$267,6),IF(I$44=45,VLOOKUP(I$113,$C$268:$K$272,6),VLOOKUP(I$113,$C$273:$K$277,6)))</f>
        <v>0.372</v>
      </c>
      <c r="J183" s="97">
        <f>IF(J$44=30,VLOOKUP(J$113,$C$263:$K$267,6),IF(J$44=45,VLOOKUP(J$113,$C$268:$K$272,6),VLOOKUP(J$113,$C$273:$K$277,6)))</f>
        <v>0.372</v>
      </c>
      <c r="K183" s="97">
        <f>IF(K$44=30,VLOOKUP(K$113,$C$263:$K$267,6),IF(K$44=45,VLOOKUP(K$113,$C$268:$K$272,6),VLOOKUP(K$113,$C$273:$K$277,6)))</f>
        <v>0.372</v>
      </c>
    </row>
    <row r="184" spans="2:11" x14ac:dyDescent="0.25">
      <c r="E184" t="s">
        <v>88</v>
      </c>
      <c r="G184" s="63">
        <f>IF(G$44=30,VLOOKUP(G$113,$C$263:$K$267,7),IF(G$44=45,VLOOKUP(G$113,$C$268:$K$272,7),VLOOKUP(G$113,$C$273:$K$277,7)))</f>
        <v>-0.123</v>
      </c>
      <c r="H184" s="94">
        <f>IF(H$44=30,VLOOKUP(H$113,$C$263:$K$267,7),IF(H$44=45,VLOOKUP(H$113,$C$268:$K$272,7),VLOOKUP(H$113,$C$273:$K$277,7)))</f>
        <v>-0.123</v>
      </c>
      <c r="I184" s="94">
        <f>IF(I$44=30,VLOOKUP(I$113,$C$263:$K$267,7),IF(I$44=45,VLOOKUP(I$113,$C$268:$K$272,7),VLOOKUP(I$113,$C$273:$K$277,7)))</f>
        <v>-0.123</v>
      </c>
      <c r="J184" s="94">
        <f>IF(J$44=30,VLOOKUP(J$113,$C$263:$K$267,7),IF(J$44=45,VLOOKUP(J$113,$C$268:$K$272,7),VLOOKUP(J$113,$C$273:$K$277,7)))</f>
        <v>-0.123</v>
      </c>
      <c r="K184" s="94">
        <f>IF(K$44=30,VLOOKUP(K$113,$C$263:$K$267,7),IF(K$44=45,VLOOKUP(K$113,$C$268:$K$272,7),VLOOKUP(K$113,$C$273:$K$277,7)))</f>
        <v>-0.123</v>
      </c>
    </row>
    <row r="185" spans="2:11" x14ac:dyDescent="0.25">
      <c r="E185" t="s">
        <v>89</v>
      </c>
      <c r="G185" s="63">
        <f>IF(G$44=30,VLOOKUP(G$113,$C$263:$K$267,8),IF(G$44=45,VLOOKUP(G$113,$C$268:$K$272,8),VLOOKUP(G$113,$C$273:$K$277,8)))</f>
        <v>7</v>
      </c>
      <c r="H185" s="94">
        <f>IF(H$44=30,VLOOKUP(H$113,$C$263:$K$267,8),IF(H$44=45,VLOOKUP(H$113,$C$268:$K$272,8),VLOOKUP(H$113,$C$273:$K$277,8)))</f>
        <v>7</v>
      </c>
      <c r="I185" s="94">
        <f>IF(I$44=30,VLOOKUP(I$113,$C$263:$K$267,8),IF(I$44=45,VLOOKUP(I$113,$C$268:$K$272,8),VLOOKUP(I$113,$C$273:$K$277,8)))</f>
        <v>7</v>
      </c>
      <c r="J185" s="94">
        <f>IF(J$44=30,VLOOKUP(J$113,$C$263:$K$267,8),IF(J$44=45,VLOOKUP(J$113,$C$268:$K$272,8),VLOOKUP(J$113,$C$273:$K$277,8)))</f>
        <v>7</v>
      </c>
      <c r="K185" s="94">
        <f>IF(K$44=30,VLOOKUP(K$113,$C$263:$K$267,8),IF(K$44=45,VLOOKUP(K$113,$C$268:$K$272,8),VLOOKUP(K$113,$C$273:$K$277,8)))</f>
        <v>7</v>
      </c>
    </row>
    <row r="186" spans="2:11" x14ac:dyDescent="0.25">
      <c r="E186" t="s">
        <v>90</v>
      </c>
      <c r="G186" s="63">
        <f>IF(G$44=30,VLOOKUP(G$113,$C$263:$K$267,9),IF(G$44=45,VLOOKUP(G$113,$C$268:$K$272,9),VLOOKUP(G$113,$C$273:$K$277,9)))</f>
        <v>0.5</v>
      </c>
      <c r="H186" s="94">
        <f>IF(H$44=30,VLOOKUP(H$113,$C$263:$K$267,9),IF(H$44=45,VLOOKUP(H$113,$C$268:$K$272,9),VLOOKUP(H$113,$C$273:$K$277,9)))</f>
        <v>0.5</v>
      </c>
      <c r="I186" s="94">
        <f>IF(I$44=30,VLOOKUP(I$113,$C$263:$K$267,9),IF(I$44=45,VLOOKUP(I$113,$C$268:$K$272,9),VLOOKUP(I$113,$C$273:$K$277,9)))</f>
        <v>0.5</v>
      </c>
      <c r="J186" s="94">
        <f>IF(J$44=30,VLOOKUP(J$113,$C$263:$K$267,9),IF(J$44=45,VLOOKUP(J$113,$C$268:$K$272,9),VLOOKUP(J$113,$C$273:$K$277,9)))</f>
        <v>0.5</v>
      </c>
      <c r="K186" s="94">
        <f>IF(K$44=30,VLOOKUP(K$113,$C$263:$K$267,9),IF(K$44=45,VLOOKUP(K$113,$C$268:$K$272,9),VLOOKUP(K$113,$C$273:$K$277,9)))</f>
        <v>0.5</v>
      </c>
    </row>
    <row r="187" spans="2:11" x14ac:dyDescent="0.25">
      <c r="E187" t="s">
        <v>161</v>
      </c>
      <c r="G187" s="59">
        <f>G185/(1+0.14*(G113^G186))</f>
        <v>0.24389015511097073</v>
      </c>
      <c r="H187" s="90">
        <f>H185/(1+0.14*(H113^H186))</f>
        <v>0.24389015511097073</v>
      </c>
      <c r="I187" s="90">
        <f t="shared" ref="I187:K187" si="49">I185/(1+0.14*(I113^I186))</f>
        <v>0.24389015511097073</v>
      </c>
      <c r="J187" s="90">
        <f t="shared" si="49"/>
        <v>0.24389015511097073</v>
      </c>
      <c r="K187" s="90">
        <f t="shared" si="49"/>
        <v>0.24389015511097073</v>
      </c>
    </row>
    <row r="188" spans="2:11" x14ac:dyDescent="0.25">
      <c r="B188" t="s">
        <v>163</v>
      </c>
      <c r="E188" t="s">
        <v>162</v>
      </c>
      <c r="G188" s="56">
        <f>G183*((1.33/(G46/G40))^G187)*(G113^G184)</f>
        <v>0.10285031737826969</v>
      </c>
      <c r="H188" s="87">
        <f>H183*((1.33/(H46/H40))^H187)*(H113^H184)</f>
        <v>0.10285031737826969</v>
      </c>
      <c r="I188" s="87">
        <f>I183*((1.33/(I46/I40))^I187)*(I113^I184)</f>
        <v>0.10285031737826969</v>
      </c>
      <c r="J188" s="87">
        <f>J183*((1.33/(J46/J40))^J187)*(J113^J184)</f>
        <v>0.10285031737826969</v>
      </c>
      <c r="K188" s="87">
        <f>K183*((1.33/(K46/K40))^K187)*(K113^K184)</f>
        <v>0.10285031737826969</v>
      </c>
    </row>
    <row r="189" spans="2:11" ht="18.75" x14ac:dyDescent="0.35">
      <c r="B189" t="s">
        <v>170</v>
      </c>
      <c r="E189" s="5" t="s">
        <v>165</v>
      </c>
      <c r="F189" s="35" t="s">
        <v>58</v>
      </c>
      <c r="G189" s="56">
        <f>2*G188*G112^2*G138*(G105/G102)^0.14/(G101)/100000</f>
        <v>6.839899671113911E-2</v>
      </c>
      <c r="H189" s="87">
        <f>2*H188*H112^2*H138*(H105/H102)^0.14/(H101)/100000</f>
        <v>6.839899671113911E-2</v>
      </c>
      <c r="I189" s="87">
        <f t="shared" ref="I189:K189" si="50">2*I188*I112^2*I138*(I105/I102)^0.14/(I101)/100000</f>
        <v>6.839899671113911E-2</v>
      </c>
      <c r="J189" s="87">
        <f t="shared" si="50"/>
        <v>6.839899671113911E-2</v>
      </c>
      <c r="K189" s="87">
        <f t="shared" si="50"/>
        <v>6.839899671113911E-2</v>
      </c>
    </row>
    <row r="190" spans="2:11" x14ac:dyDescent="0.25">
      <c r="F190" s="35"/>
      <c r="G190" s="41"/>
      <c r="H190" s="72"/>
      <c r="I190" s="72"/>
      <c r="J190" s="72"/>
      <c r="K190" s="72"/>
    </row>
    <row r="191" spans="2:11" x14ac:dyDescent="0.25">
      <c r="B191" s="8" t="s">
        <v>104</v>
      </c>
      <c r="F191" s="35"/>
      <c r="G191" s="41"/>
      <c r="H191" s="72"/>
      <c r="I191" s="72"/>
      <c r="J191" s="72"/>
      <c r="K191" s="72"/>
    </row>
    <row r="192" spans="2:11" x14ac:dyDescent="0.25">
      <c r="B192" t="s">
        <v>166</v>
      </c>
      <c r="E192" t="s">
        <v>167</v>
      </c>
      <c r="F192" s="35"/>
      <c r="G192" s="65">
        <f>0.8-0.15*(1+G133)</f>
        <v>0.5551931319465625</v>
      </c>
      <c r="H192" s="96">
        <f>0.8-0.15*(1+H133)</f>
        <v>0.5551931319465625</v>
      </c>
      <c r="I192" s="96">
        <f t="shared" ref="I192:K192" si="51">0.8-0.15*(1+I133)</f>
        <v>0.5551931319465625</v>
      </c>
      <c r="J192" s="96">
        <f t="shared" si="51"/>
        <v>0.5551931319465625</v>
      </c>
      <c r="K192" s="96">
        <f t="shared" si="51"/>
        <v>0.5551931319465625</v>
      </c>
    </row>
    <row r="193" spans="2:11" ht="18.75" x14ac:dyDescent="0.35">
      <c r="B193" t="s">
        <v>144</v>
      </c>
      <c r="E193" t="s">
        <v>168</v>
      </c>
      <c r="F193" s="35"/>
      <c r="G193" s="56">
        <f>EXP(-1.33*(1+G133)*G132^G192)</f>
        <v>0.28868653290630797</v>
      </c>
      <c r="H193" s="87">
        <f>EXP(-1.33*(1+H133)*H132^H192)</f>
        <v>0.28868653290630797</v>
      </c>
      <c r="I193" s="87">
        <f t="shared" ref="I193:K193" si="52">EXP(-1.33*(1+I133)*I132^I192)</f>
        <v>0.28868653290630797</v>
      </c>
      <c r="J193" s="87">
        <f t="shared" si="52"/>
        <v>0.28868653290630797</v>
      </c>
      <c r="K193" s="87">
        <f t="shared" si="52"/>
        <v>0.28868653290630797</v>
      </c>
    </row>
    <row r="194" spans="2:11" x14ac:dyDescent="0.25">
      <c r="F194" s="35"/>
      <c r="G194" s="41"/>
      <c r="H194" s="72"/>
      <c r="I194" s="72"/>
      <c r="J194" s="72"/>
      <c r="K194" s="72"/>
    </row>
    <row r="195" spans="2:11" x14ac:dyDescent="0.25">
      <c r="B195" s="8" t="s">
        <v>169</v>
      </c>
      <c r="F195" s="35"/>
      <c r="G195" s="41"/>
      <c r="H195" s="72"/>
      <c r="I195" s="72"/>
      <c r="J195" s="72"/>
      <c r="K195" s="72"/>
    </row>
    <row r="196" spans="2:11" ht="18.75" x14ac:dyDescent="0.35">
      <c r="B196" t="s">
        <v>174</v>
      </c>
      <c r="E196" t="s">
        <v>171</v>
      </c>
      <c r="F196" s="35" t="s">
        <v>292</v>
      </c>
      <c r="G196" s="68">
        <f>((G53/1000)^2/8)*(G129-SIN(G129))</f>
        <v>5.6947372773714269E-2</v>
      </c>
      <c r="H196" s="99">
        <f>((H53/1000)^2/8)*(H129-SIN(H129))</f>
        <v>5.6947372773714269E-2</v>
      </c>
      <c r="I196" s="99">
        <f>((I53/1000)^2/8)*(I129-SIN(I129))</f>
        <v>5.6947372773714269E-2</v>
      </c>
      <c r="J196" s="99">
        <f>((J53/1000)^2/8)*(J129-SIN(J129))</f>
        <v>5.6947372773714269E-2</v>
      </c>
      <c r="K196" s="99">
        <f>((K53/1000)^2/8)*(K129-SIN(K129))</f>
        <v>5.6947372773714269E-2</v>
      </c>
    </row>
    <row r="197" spans="2:11" ht="18.75" x14ac:dyDescent="0.35">
      <c r="B197" t="s">
        <v>172</v>
      </c>
      <c r="E197" t="s">
        <v>173</v>
      </c>
      <c r="F197" s="35" t="s">
        <v>292</v>
      </c>
      <c r="G197" s="56">
        <f>G38*G124*PI()*(G40/1000)^2/4</f>
        <v>2.1130136279376096E-2</v>
      </c>
      <c r="H197" s="87">
        <f>H38*H124*PI()*(H40/1000)^2/4</f>
        <v>2.1130136279376096E-2</v>
      </c>
      <c r="I197" s="87">
        <f>I38*I124*PI()*(I40/1000)^2/4</f>
        <v>2.1130136279376096E-2</v>
      </c>
      <c r="J197" s="87">
        <f>J38*J124*PI()*(J40/1000)^2/4</f>
        <v>2.1130136279376096E-2</v>
      </c>
      <c r="K197" s="87">
        <f>K38*K124*PI()*(K40/1000)^2/4</f>
        <v>2.1130136279376096E-2</v>
      </c>
    </row>
    <row r="198" spans="2:11" ht="18.75" x14ac:dyDescent="0.35">
      <c r="B198" t="s">
        <v>175</v>
      </c>
      <c r="E198" t="s">
        <v>176</v>
      </c>
      <c r="F198" s="35" t="s">
        <v>292</v>
      </c>
      <c r="G198" s="56">
        <f>G196-G197</f>
        <v>3.581723649433817E-2</v>
      </c>
      <c r="H198" s="87">
        <f>H196-H197</f>
        <v>3.581723649433817E-2</v>
      </c>
      <c r="I198" s="87">
        <f t="shared" ref="I198:K198" si="53">I196-I197</f>
        <v>3.581723649433817E-2</v>
      </c>
      <c r="J198" s="87">
        <f t="shared" si="53"/>
        <v>3.581723649433817E-2</v>
      </c>
      <c r="K198" s="87">
        <f t="shared" si="53"/>
        <v>3.581723649433817E-2</v>
      </c>
    </row>
    <row r="199" spans="2:11" ht="18.75" x14ac:dyDescent="0.35">
      <c r="B199" t="s">
        <v>178</v>
      </c>
      <c r="E199" t="s">
        <v>177</v>
      </c>
      <c r="F199" s="35" t="s">
        <v>294</v>
      </c>
      <c r="G199" s="57">
        <f>(G98/3600)/SQRT(G111*G198)</f>
        <v>1176.2224961278057</v>
      </c>
      <c r="H199" s="88">
        <f>(H98/3600)/SQRT(H111*H198)</f>
        <v>1176.2224961278057</v>
      </c>
      <c r="I199" s="88">
        <f t="shared" ref="I199:K199" si="54">(I98/3600)/SQRT(I111*I198)</f>
        <v>1176.2224961278057</v>
      </c>
      <c r="J199" s="88">
        <f t="shared" si="54"/>
        <v>1176.2224961278057</v>
      </c>
      <c r="K199" s="88">
        <f t="shared" si="54"/>
        <v>1176.2224961278057</v>
      </c>
    </row>
    <row r="200" spans="2:11" x14ac:dyDescent="0.25">
      <c r="B200" t="s">
        <v>179</v>
      </c>
      <c r="E200" t="s">
        <v>180</v>
      </c>
      <c r="F200" s="35" t="s">
        <v>21</v>
      </c>
      <c r="G200" s="56">
        <f>4*G198/(PI()*(G40/1000)*G38*G124+(G53/1000)*G129)</f>
        <v>2.5080953938328886E-2</v>
      </c>
      <c r="H200" s="87">
        <f>4*H198/(PI()*(H40/1000)*H38*H124+(H53/1000)*H129)</f>
        <v>2.5080953938328886E-2</v>
      </c>
      <c r="I200" s="87">
        <f>4*I198/(PI()*(I40/1000)*I38*I124+(I53/1000)*I129)</f>
        <v>2.5080953938328886E-2</v>
      </c>
      <c r="J200" s="87">
        <f>4*J198/(PI()*(J40/1000)*J38*J124+(J53/1000)*J129)</f>
        <v>2.5080953938328886E-2</v>
      </c>
      <c r="K200" s="87">
        <f>4*K198/(PI()*(K40/1000)*K38*K124+(K53/1000)*K129)</f>
        <v>2.5080953938328886E-2</v>
      </c>
    </row>
    <row r="201" spans="2:11" ht="18.75" x14ac:dyDescent="0.35">
      <c r="B201" t="s">
        <v>181</v>
      </c>
      <c r="E201" s="5" t="s">
        <v>183</v>
      </c>
      <c r="F201" s="35" t="s">
        <v>58</v>
      </c>
      <c r="G201" s="56">
        <f>G146*G193*(2+0.6*G145)*G199^2/(2*G101)/100000</f>
        <v>0.22942536249103018</v>
      </c>
      <c r="H201" s="87">
        <f>H146*H193*(2+0.6*H145)*H199^2/(2*H101)/100000</f>
        <v>0.21508627733534078</v>
      </c>
      <c r="I201" s="87">
        <f t="shared" ref="I201:K201" si="55">I146*I193*(2+0.6*I145)*I199^2/(2*I101)/100000</f>
        <v>0.22942536249103018</v>
      </c>
      <c r="J201" s="87">
        <f t="shared" si="55"/>
        <v>0.22942536249103018</v>
      </c>
      <c r="K201" s="87">
        <f t="shared" si="55"/>
        <v>0.27244261795809832</v>
      </c>
    </row>
    <row r="202" spans="2:11" ht="18.75" x14ac:dyDescent="0.35">
      <c r="B202" t="s">
        <v>182</v>
      </c>
      <c r="E202" s="5" t="s">
        <v>184</v>
      </c>
      <c r="F202" s="35" t="s">
        <v>58</v>
      </c>
      <c r="G202" s="56">
        <f>G146*G193*( (26*G199*G103/G101)*(G145/(G46-G40)/1000 + (G56/1000)/G200^2) + G199^2/G101)/100000</f>
        <v>0.46352992786454544</v>
      </c>
      <c r="H202" s="87">
        <f>H146*H193*( (26*H199*H103/H101)*(H145/(H46-H40)/1000 + (H56/1000)/H200^2) + H199^2/H101)/100000</f>
        <v>0.43455930737301141</v>
      </c>
      <c r="I202" s="87">
        <f>I146*I193*( (26*I199*I103/I101)*(I145/(I46-I40)/1000 + (I56/1000)/I200^2) + I199^2/I101)/100000</f>
        <v>0.46352992786454544</v>
      </c>
      <c r="J202" s="87">
        <f>J146*J193*( (26*J199*J103/J101)*(J145/(J46-J40)/1000 + (J56/1000)/J200^2) + J199^2/J101)/100000</f>
        <v>0.46352992786454544</v>
      </c>
      <c r="K202" s="87">
        <f>K146*K193*( (26*K199*K103/K101)*(K145/(K46-K40)/1000 + (K56/1000)/K200^2) + K199^2/K101)/100000</f>
        <v>0.55044178933914778</v>
      </c>
    </row>
    <row r="203" spans="2:11" ht="18.75" x14ac:dyDescent="0.35">
      <c r="B203" t="s">
        <v>197</v>
      </c>
      <c r="E203" s="5" t="s">
        <v>185</v>
      </c>
      <c r="F203" s="35" t="s">
        <v>58</v>
      </c>
      <c r="G203" s="56">
        <f>IF(G113&gt;=100,G201,G202)</f>
        <v>0.22942536249103018</v>
      </c>
      <c r="H203" s="87">
        <f>IF(H113&gt;=100,H201,H202)</f>
        <v>0.21508627733534078</v>
      </c>
      <c r="I203" s="87">
        <f t="shared" ref="I203:K203" si="56">IF(I113&gt;=100,I201,I202)</f>
        <v>0.22942536249103018</v>
      </c>
      <c r="J203" s="87">
        <f t="shared" si="56"/>
        <v>0.22942536249103018</v>
      </c>
      <c r="K203" s="87">
        <f t="shared" si="56"/>
        <v>0.27244261795809832</v>
      </c>
    </row>
    <row r="204" spans="2:11" x14ac:dyDescent="0.25">
      <c r="F204" s="35"/>
      <c r="G204" s="41"/>
      <c r="H204" s="72"/>
      <c r="I204" s="72"/>
      <c r="J204" s="72"/>
      <c r="K204" s="72"/>
    </row>
    <row r="205" spans="2:11" x14ac:dyDescent="0.25">
      <c r="B205" s="8" t="s">
        <v>186</v>
      </c>
      <c r="G205" s="41"/>
      <c r="H205" s="72"/>
      <c r="I205" s="72"/>
      <c r="J205" s="72"/>
      <c r="K205" s="72"/>
    </row>
    <row r="206" spans="2:11" ht="18.75" x14ac:dyDescent="0.35">
      <c r="B206" t="s">
        <v>187</v>
      </c>
      <c r="E206" t="s">
        <v>188</v>
      </c>
      <c r="G206" s="66">
        <f>IF(G113&lt;100,4.5,3.7)</f>
        <v>3.7</v>
      </c>
      <c r="H206" s="97">
        <f>IF(H113&lt;100,4.5,3.7)</f>
        <v>3.7</v>
      </c>
      <c r="I206" s="97">
        <f t="shared" ref="I206:K206" si="57">IF(I113&lt;100,4.5,3.7)</f>
        <v>3.7</v>
      </c>
      <c r="J206" s="97">
        <f t="shared" si="57"/>
        <v>3.7</v>
      </c>
      <c r="K206" s="97">
        <f t="shared" si="57"/>
        <v>3.7</v>
      </c>
    </row>
    <row r="207" spans="2:11" ht="18.75" x14ac:dyDescent="0.35">
      <c r="B207" t="s">
        <v>144</v>
      </c>
      <c r="E207" t="s">
        <v>189</v>
      </c>
      <c r="G207" s="56">
        <f>IF(G139&gt;=0.5,1,EXP(-1*G206*(G140/G111)*(1-(2*G139)^(1/3))))</f>
        <v>0.94150386060344959</v>
      </c>
      <c r="H207" s="87">
        <f>IF(H139&gt;=0.5,1,EXP(-1*H206*(H140/H111)*(1-(2*H139)^(1/3))))</f>
        <v>0.94150386060344959</v>
      </c>
      <c r="I207" s="87">
        <f t="shared" ref="I207:K207" si="58">IF(I139&gt;=0.5,1,EXP(-1*I206*(I140/I111)*(1-(2*I139)^(1/3))))</f>
        <v>0.94150386060344959</v>
      </c>
      <c r="J207" s="87">
        <f t="shared" si="58"/>
        <v>0.94150386060344959</v>
      </c>
      <c r="K207" s="87">
        <f t="shared" si="58"/>
        <v>0.94150386060344959</v>
      </c>
    </row>
    <row r="208" spans="2:11" x14ac:dyDescent="0.25">
      <c r="G208" s="41"/>
      <c r="H208" s="72"/>
      <c r="I208" s="72"/>
      <c r="J208" s="72"/>
      <c r="K208" s="72"/>
    </row>
    <row r="209" spans="2:11" x14ac:dyDescent="0.25">
      <c r="B209" s="8" t="s">
        <v>190</v>
      </c>
      <c r="G209" s="41"/>
      <c r="H209" s="72"/>
      <c r="I209" s="72"/>
      <c r="J209" s="72"/>
      <c r="K209" s="72"/>
    </row>
    <row r="210" spans="2:11" x14ac:dyDescent="0.25">
      <c r="B210" t="s">
        <v>191</v>
      </c>
      <c r="E210" t="s">
        <v>192</v>
      </c>
      <c r="G210" s="66">
        <f>IF(G113&lt;100,1,0.2)</f>
        <v>0.2</v>
      </c>
      <c r="H210" s="97">
        <f>IF(H113&lt;100,1,0.2)</f>
        <v>0.2</v>
      </c>
      <c r="I210" s="97">
        <f t="shared" ref="I210:K210" si="59">IF(I113&lt;100,1,0.2)</f>
        <v>0.2</v>
      </c>
      <c r="J210" s="97">
        <f t="shared" si="59"/>
        <v>0.2</v>
      </c>
      <c r="K210" s="97">
        <f t="shared" si="59"/>
        <v>0.2</v>
      </c>
    </row>
    <row r="211" spans="2:11" ht="18.75" x14ac:dyDescent="0.35">
      <c r="B211" t="s">
        <v>144</v>
      </c>
      <c r="E211" t="s">
        <v>193</v>
      </c>
      <c r="G211" s="63">
        <f>(G56/G57)^(2-G210) + (G56/G58)^(2-G210)</f>
        <v>2</v>
      </c>
      <c r="H211" s="94">
        <f>(H56/H57)^(2-H210) + (H56/H58)^(2-H210)</f>
        <v>2</v>
      </c>
      <c r="I211" s="94">
        <f>(I56/I57)^(2-I210) + (I56/I58)^(2-I210)</f>
        <v>2</v>
      </c>
      <c r="J211" s="94">
        <f>(J56/J57)^(2-J210) + (J56/J58)^(2-J210)</f>
        <v>2</v>
      </c>
      <c r="K211" s="94">
        <f>(K56/K57)^(2-K210) + (K56/K58)^(2-K210)</f>
        <v>2</v>
      </c>
    </row>
    <row r="212" spans="2:11" x14ac:dyDescent="0.25">
      <c r="G212" s="41"/>
      <c r="H212" s="72"/>
      <c r="I212" s="72"/>
      <c r="J212" s="72"/>
      <c r="K212" s="72"/>
    </row>
    <row r="213" spans="2:11" x14ac:dyDescent="0.25">
      <c r="B213" s="8" t="s">
        <v>194</v>
      </c>
      <c r="G213" s="41"/>
      <c r="H213" s="72"/>
      <c r="I213" s="72"/>
      <c r="J213" s="72"/>
      <c r="K213" s="72"/>
    </row>
    <row r="214" spans="2:11" ht="18.75" x14ac:dyDescent="0.35">
      <c r="B214" t="s">
        <v>196</v>
      </c>
      <c r="E214" s="5" t="s">
        <v>195</v>
      </c>
      <c r="F214" s="35" t="s">
        <v>58</v>
      </c>
      <c r="G214" s="68">
        <f>G189*(G146-1)*G193*G207</f>
        <v>0.27886218145069808</v>
      </c>
      <c r="H214" s="99">
        <f>H189*(H146-1)*H193*H207</f>
        <v>0.26027136935398487</v>
      </c>
      <c r="I214" s="99">
        <f t="shared" ref="I214:K214" si="60">I189*(I146-1)*I193*I207</f>
        <v>0.27886218145069808</v>
      </c>
      <c r="J214" s="99">
        <f t="shared" si="60"/>
        <v>0.27886218145069808</v>
      </c>
      <c r="K214" s="99">
        <f t="shared" si="60"/>
        <v>0.33463461774083775</v>
      </c>
    </row>
    <row r="215" spans="2:11" ht="18.75" x14ac:dyDescent="0.35">
      <c r="B215" t="s">
        <v>197</v>
      </c>
      <c r="E215" s="5" t="s">
        <v>185</v>
      </c>
      <c r="F215" s="35" t="s">
        <v>58</v>
      </c>
      <c r="G215" s="56">
        <f>G203</f>
        <v>0.22942536249103018</v>
      </c>
      <c r="H215" s="87">
        <f>H203</f>
        <v>0.21508627733534078</v>
      </c>
      <c r="I215" s="87">
        <f t="shared" ref="I215:K215" si="61">I203</f>
        <v>0.22942536249103018</v>
      </c>
      <c r="J215" s="87">
        <f t="shared" si="61"/>
        <v>0.22942536249103018</v>
      </c>
      <c r="K215" s="87">
        <f t="shared" si="61"/>
        <v>0.27244261795809832</v>
      </c>
    </row>
    <row r="216" spans="2:11" ht="18.75" x14ac:dyDescent="0.35">
      <c r="B216" t="s">
        <v>198</v>
      </c>
      <c r="E216" s="5" t="s">
        <v>199</v>
      </c>
      <c r="F216" s="35" t="s">
        <v>58</v>
      </c>
      <c r="G216" s="56">
        <f>G189*G211*G207*(1+G145/G138)</f>
        <v>0.17446104865910106</v>
      </c>
      <c r="H216" s="87">
        <f>H189*H211*H207*(1+H145/H138)</f>
        <v>0.17446104865910106</v>
      </c>
      <c r="I216" s="87">
        <f t="shared" ref="I216:K216" si="62">I189*I211*I207*(1+I145/I138)</f>
        <v>0.17446104865910106</v>
      </c>
      <c r="J216" s="87">
        <f t="shared" si="62"/>
        <v>0.17446104865910106</v>
      </c>
      <c r="K216" s="87">
        <f t="shared" si="62"/>
        <v>0.17446104865910106</v>
      </c>
    </row>
    <row r="217" spans="2:11" ht="18.75" x14ac:dyDescent="0.35">
      <c r="B217" t="s">
        <v>200</v>
      </c>
      <c r="E217" s="5" t="s">
        <v>201</v>
      </c>
      <c r="F217" s="35" t="s">
        <v>58</v>
      </c>
      <c r="G217" s="56">
        <f>G214+G215+G216</f>
        <v>0.68274859260082932</v>
      </c>
      <c r="H217" s="87">
        <f>H214+H215+H216</f>
        <v>0.64981869534842673</v>
      </c>
      <c r="I217" s="87">
        <f t="shared" ref="I217:K217" si="63">I214+I215+I216</f>
        <v>0.68274859260082932</v>
      </c>
      <c r="J217" s="87">
        <f t="shared" si="63"/>
        <v>0.68274859260082932</v>
      </c>
      <c r="K217" s="87">
        <f t="shared" si="63"/>
        <v>0.78153828435803707</v>
      </c>
    </row>
    <row r="218" spans="2:11" x14ac:dyDescent="0.25">
      <c r="F218" s="35"/>
      <c r="G218" s="41"/>
      <c r="H218" s="72"/>
      <c r="I218" s="72"/>
      <c r="J218" s="72"/>
      <c r="K218" s="72"/>
    </row>
    <row r="219" spans="2:11" ht="18.75" x14ac:dyDescent="0.35">
      <c r="B219" s="4" t="s">
        <v>234</v>
      </c>
      <c r="E219" s="5" t="s">
        <v>235</v>
      </c>
      <c r="F219" s="35" t="s">
        <v>58</v>
      </c>
      <c r="G219" s="68">
        <f>(4*G165*G39*G37/(G43/1000)+4*G37)*G89*G159^2/2/100000</f>
        <v>0.14028493668654568</v>
      </c>
      <c r="H219" s="99">
        <f>(4*H165*H39*H37/(H43/1000)+4*H37)*H89*H159^2/2/100000</f>
        <v>0.13526630760260669</v>
      </c>
      <c r="I219" s="99">
        <f>(4*I165*I39*I37/(I43/1000)+4*I37)*I89*I159^2/2/100000</f>
        <v>0.13714594396363256</v>
      </c>
      <c r="J219" s="99">
        <f>(4*J165*J39*J37/(J43/1000)+4*J37)*J89*J159^2/2/100000</f>
        <v>0.13902558032465839</v>
      </c>
      <c r="K219" s="99">
        <f>(4*K165*K39*K37/(K43/1000)+4*K37)*K89*K159^2/2/100000</f>
        <v>0.15406267121286502</v>
      </c>
    </row>
    <row r="220" spans="2:11" x14ac:dyDescent="0.25">
      <c r="F220" s="35"/>
      <c r="G220" s="41"/>
      <c r="H220" s="72"/>
      <c r="I220" s="72"/>
      <c r="J220" s="72"/>
      <c r="K220" s="72"/>
    </row>
    <row r="221" spans="2:11" x14ac:dyDescent="0.25">
      <c r="B221" s="4" t="s">
        <v>236</v>
      </c>
      <c r="G221" s="41"/>
      <c r="H221" s="72"/>
      <c r="I221" s="72"/>
      <c r="J221" s="72"/>
      <c r="K221" s="72"/>
    </row>
    <row r="222" spans="2:11" x14ac:dyDescent="0.25">
      <c r="B222" t="s">
        <v>238</v>
      </c>
      <c r="G222" s="67">
        <f>G99-G88+0.000002</f>
        <v>-45.111107999999994</v>
      </c>
      <c r="H222" s="98">
        <f>H99-H88+0.000002</f>
        <v>-45.111107999999994</v>
      </c>
      <c r="I222" s="98">
        <f t="shared" ref="I222:K222" si="64">I99-I88+0.000002</f>
        <v>-45.111107999999994</v>
      </c>
      <c r="J222" s="98">
        <f t="shared" si="64"/>
        <v>-45.111107999999994</v>
      </c>
      <c r="K222" s="98">
        <f t="shared" si="64"/>
        <v>-45.111107999999994</v>
      </c>
    </row>
    <row r="223" spans="2:11" x14ac:dyDescent="0.25">
      <c r="B223" s="7" t="s">
        <v>237</v>
      </c>
      <c r="G223" s="62">
        <f>G100-G87+0.000001</f>
        <v>-43.999997823529412</v>
      </c>
      <c r="H223" s="93">
        <f>H100-H87+0.000001</f>
        <v>-43.999997823529412</v>
      </c>
      <c r="I223" s="93">
        <f t="shared" ref="I223:K223" si="65">I100-I87+0.000001</f>
        <v>-43.999997823529412</v>
      </c>
      <c r="J223" s="93">
        <f t="shared" si="65"/>
        <v>-43.999997823529412</v>
      </c>
      <c r="K223" s="93">
        <f t="shared" si="65"/>
        <v>-43.999997823529412</v>
      </c>
    </row>
    <row r="224" spans="2:11" x14ac:dyDescent="0.25">
      <c r="B224" s="7" t="s">
        <v>239</v>
      </c>
      <c r="G224" s="62">
        <f>ABS((G222-G223)/LN(G222/G223))</f>
        <v>44.553243777564759</v>
      </c>
      <c r="H224" s="93">
        <f>ABS((H222-H223)/LN(H222/H223))</f>
        <v>44.553243777564759</v>
      </c>
      <c r="I224" s="93">
        <f t="shared" ref="I224:K224" si="66">ABS((I222-I223)/LN(I222/I223))</f>
        <v>44.553243777564759</v>
      </c>
      <c r="J224" s="93">
        <f t="shared" si="66"/>
        <v>44.553243777564759</v>
      </c>
      <c r="K224" s="93">
        <f t="shared" si="66"/>
        <v>44.553243777564759</v>
      </c>
    </row>
    <row r="225" spans="2:11" x14ac:dyDescent="0.25">
      <c r="B225" s="7" t="s">
        <v>249</v>
      </c>
      <c r="G225" s="57">
        <f>(G99-G100)/(G88-G87)</f>
        <v>1.0588235294117647</v>
      </c>
      <c r="H225" s="88">
        <f>(H99-H100)/(H88-H87)</f>
        <v>1.0588235294117647</v>
      </c>
      <c r="I225" s="88">
        <f t="shared" ref="I225:K225" si="67">(I99-I100)/(I88-I87)</f>
        <v>1.0588235294117647</v>
      </c>
      <c r="J225" s="88">
        <f t="shared" si="67"/>
        <v>1.0588235294117647</v>
      </c>
      <c r="K225" s="88">
        <f t="shared" si="67"/>
        <v>1.0588235294117647</v>
      </c>
    </row>
    <row r="226" spans="2:11" x14ac:dyDescent="0.25">
      <c r="B226" s="7" t="s">
        <v>250</v>
      </c>
      <c r="G226" s="57">
        <f>(G88-G87)/(G99-G87)</f>
        <v>0.29513890625000005</v>
      </c>
      <c r="H226" s="88">
        <f>(H88-H87)/(H99-H87)</f>
        <v>0.29513890625000005</v>
      </c>
      <c r="I226" s="88">
        <f t="shared" ref="I226:K226" si="68">(I88-I87)/(I99-I87)</f>
        <v>0.29513890625000005</v>
      </c>
      <c r="J226" s="88">
        <f t="shared" si="68"/>
        <v>0.29513890625000005</v>
      </c>
      <c r="K226" s="88">
        <f t="shared" si="68"/>
        <v>0.29513890625000005</v>
      </c>
    </row>
    <row r="227" spans="2:11" x14ac:dyDescent="0.25">
      <c r="B227" s="7" t="s">
        <v>166</v>
      </c>
      <c r="G227" s="57">
        <f>SQRT(G225^2+1)</f>
        <v>1.4564021650752881</v>
      </c>
      <c r="H227" s="88">
        <f>SQRT(H225^2+1)</f>
        <v>1.4564021650752881</v>
      </c>
      <c r="I227" s="88">
        <f t="shared" ref="I227:K227" si="69">SQRT(I225^2+1)</f>
        <v>1.4564021650752881</v>
      </c>
      <c r="J227" s="88">
        <f t="shared" si="69"/>
        <v>1.4564021650752881</v>
      </c>
      <c r="K227" s="88">
        <f t="shared" si="69"/>
        <v>1.4564021650752881</v>
      </c>
    </row>
    <row r="228" spans="2:11" x14ac:dyDescent="0.25">
      <c r="B228" s="7" t="s">
        <v>252</v>
      </c>
      <c r="F228" s="35" t="s">
        <v>251</v>
      </c>
      <c r="G228" s="56">
        <f>G227*LN((1-G226)/(1-G225*G226))/((G225-1)*LN((2-G226*(G225+1-G227))/(2-G226*(G225+1+G227))))</f>
        <v>0.96743174031085855</v>
      </c>
      <c r="H228" s="87">
        <f>H227*LN((1-H226)/(1-H225*H226))/((H225-1)*LN((2-H226*(H225+1-H227))/(2-H226*(H225+1+H227))))</f>
        <v>0.96743174031085855</v>
      </c>
      <c r="I228" s="87">
        <f t="shared" ref="I228:K228" si="70">I227*LN((1-I226)/(1-I225*I226))/((I225-1)*LN((2-I226*(I225+1-I227))/(2-I226*(I225+1+I227))))</f>
        <v>0.96743174031085855</v>
      </c>
      <c r="J228" s="87">
        <f t="shared" si="70"/>
        <v>0.96743174031085855</v>
      </c>
      <c r="K228" s="87">
        <f t="shared" si="70"/>
        <v>0.96743174031085855</v>
      </c>
    </row>
    <row r="229" spans="2:11" x14ac:dyDescent="0.25">
      <c r="B229" s="7" t="s">
        <v>253</v>
      </c>
      <c r="G229" s="57">
        <f>G224*G228</f>
        <v>43.102222164223406</v>
      </c>
      <c r="H229" s="88">
        <f>H224*H228</f>
        <v>43.102222164223406</v>
      </c>
      <c r="I229" s="88">
        <f t="shared" ref="I229:K229" si="71">I224*I228</f>
        <v>43.102222164223406</v>
      </c>
      <c r="J229" s="88">
        <f t="shared" si="71"/>
        <v>43.102222164223406</v>
      </c>
      <c r="K229" s="88">
        <f t="shared" si="71"/>
        <v>43.102222164223406</v>
      </c>
    </row>
    <row r="230" spans="2:11" x14ac:dyDescent="0.25">
      <c r="B230" s="7"/>
      <c r="G230" s="41"/>
      <c r="H230" s="72"/>
      <c r="I230" s="72"/>
      <c r="J230" s="72"/>
      <c r="K230" s="72"/>
    </row>
    <row r="231" spans="2:11" x14ac:dyDescent="0.25">
      <c r="B231" s="4" t="s">
        <v>240</v>
      </c>
      <c r="G231" s="41"/>
      <c r="H231" s="72"/>
      <c r="I231" s="72"/>
      <c r="J231" s="72"/>
      <c r="K231" s="72"/>
    </row>
    <row r="232" spans="2:11" x14ac:dyDescent="0.25">
      <c r="B232" t="s">
        <v>242</v>
      </c>
      <c r="F232" s="35" t="s">
        <v>243</v>
      </c>
      <c r="G232" s="61">
        <f>ABS(G86*G91*(G88-G87))</f>
        <v>1428000.0840000003</v>
      </c>
      <c r="H232" s="92">
        <f>ABS(H86*H91*(H88-H87))</f>
        <v>1428000.0840000003</v>
      </c>
      <c r="I232" s="92">
        <f t="shared" ref="I232:K232" si="72">ABS(I86*I91*(I88-I87))</f>
        <v>1428000.0840000003</v>
      </c>
      <c r="J232" s="92">
        <f t="shared" si="72"/>
        <v>1428000.0840000003</v>
      </c>
      <c r="K232" s="92">
        <f t="shared" si="72"/>
        <v>1428000.0840000003</v>
      </c>
    </row>
    <row r="233" spans="2:11" x14ac:dyDescent="0.25">
      <c r="B233" t="s">
        <v>241</v>
      </c>
      <c r="F233" s="35" t="s">
        <v>292</v>
      </c>
      <c r="G233" s="57">
        <f>G232/(G229*G179)</f>
        <v>73.988246762613784</v>
      </c>
      <c r="H233" s="88">
        <f>H232/(H229*H179)</f>
        <v>73.988246762613784</v>
      </c>
      <c r="I233" s="88">
        <f t="shared" ref="I233:K233" si="73">I232/(I229*I179)</f>
        <v>73.988246762613784</v>
      </c>
      <c r="J233" s="88">
        <f t="shared" si="73"/>
        <v>73.988246762613784</v>
      </c>
      <c r="K233" s="88">
        <f t="shared" si="73"/>
        <v>73.988246762613784</v>
      </c>
    </row>
    <row r="234" spans="2:11" x14ac:dyDescent="0.25">
      <c r="B234" t="s">
        <v>244</v>
      </c>
      <c r="F234" s="35" t="s">
        <v>292</v>
      </c>
      <c r="G234" s="57">
        <f>G162*G38*PI()*(G40/1000)</f>
        <v>102.70478630727737</v>
      </c>
      <c r="H234" s="88">
        <f>H162*H38*PI()*(H40/1000)</f>
        <v>96.089381032732575</v>
      </c>
      <c r="I234" s="88">
        <f>I162*I38*PI()*(I40/1000)</f>
        <v>98.567060910839231</v>
      </c>
      <c r="J234" s="88">
        <f>J162*J38*PI()*(J40/1000)</f>
        <v>101.04474078894589</v>
      </c>
      <c r="K234" s="88">
        <f>K162*K38*PI()*(K40/1000)</f>
        <v>120.86617981379919</v>
      </c>
    </row>
    <row r="235" spans="2:11" x14ac:dyDescent="0.25">
      <c r="B235" t="s">
        <v>246</v>
      </c>
      <c r="F235" s="35" t="s">
        <v>293</v>
      </c>
      <c r="G235" s="57">
        <f>G232/(G229*G234)</f>
        <v>322.58033500198093</v>
      </c>
      <c r="H235" s="88">
        <f>H232/(H229*H234)</f>
        <v>344.78882075452822</v>
      </c>
      <c r="I235" s="88">
        <f t="shared" ref="I235:K235" si="74">I232/(I229*I234)</f>
        <v>336.12186532859374</v>
      </c>
      <c r="J235" s="88">
        <f t="shared" si="74"/>
        <v>327.87994817571763</v>
      </c>
      <c r="K235" s="88">
        <f t="shared" si="74"/>
        <v>274.10930356488285</v>
      </c>
    </row>
    <row r="236" spans="2:11" x14ac:dyDescent="0.25">
      <c r="B236" t="s">
        <v>247</v>
      </c>
      <c r="F236" s="35" t="s">
        <v>34</v>
      </c>
      <c r="G236" s="59">
        <f>(G178/G235-1)*100</f>
        <v>132.51760595902545</v>
      </c>
      <c r="H236" s="90">
        <f>(H178/H235-1)*100</f>
        <v>117.54071683641141</v>
      </c>
      <c r="I236" s="90">
        <f t="shared" ref="I236:K236" si="75">(I178/I235-1)*100</f>
        <v>123.15003860518065</v>
      </c>
      <c r="J236" s="90">
        <f t="shared" si="75"/>
        <v>128.75936037394996</v>
      </c>
      <c r="K236" s="90">
        <f t="shared" si="75"/>
        <v>173.63393452410446</v>
      </c>
    </row>
    <row r="237" spans="2:11" x14ac:dyDescent="0.25">
      <c r="B237" t="s">
        <v>245</v>
      </c>
      <c r="F237" s="35" t="s">
        <v>34</v>
      </c>
      <c r="G237" s="71">
        <f>(G179/G235-1)*100</f>
        <v>38.812298981483686</v>
      </c>
      <c r="H237" s="101">
        <f>(H179/H235-1)*100</f>
        <v>29.871142022095441</v>
      </c>
      <c r="I237" s="101">
        <f t="shared" ref="I237:K237" si="76">(I179/I235-1)*100</f>
        <v>33.219889946959924</v>
      </c>
      <c r="J237" s="101">
        <f t="shared" si="76"/>
        <v>36.568637871824428</v>
      </c>
      <c r="K237" s="101">
        <f t="shared" si="76"/>
        <v>63.358621270740521</v>
      </c>
    </row>
    <row r="241" spans="2:15" x14ac:dyDescent="0.25">
      <c r="B241" s="20" t="s">
        <v>261</v>
      </c>
      <c r="C241" s="10"/>
      <c r="D241" s="10"/>
      <c r="E241" s="19"/>
      <c r="F241" s="21" t="s">
        <v>262</v>
      </c>
      <c r="G241" s="10"/>
      <c r="H241" s="10"/>
      <c r="I241" s="10"/>
      <c r="J241" s="10"/>
      <c r="K241" s="10"/>
      <c r="L241" s="10"/>
      <c r="M241" s="10"/>
    </row>
    <row r="242" spans="2:15" x14ac:dyDescent="0.25">
      <c r="B242" s="10"/>
      <c r="C242" s="10"/>
      <c r="D242" s="10"/>
      <c r="E242" s="10"/>
      <c r="F242" s="11"/>
      <c r="G242" s="10"/>
      <c r="H242" s="10"/>
      <c r="I242" s="10"/>
      <c r="J242" s="10"/>
      <c r="K242" s="10"/>
      <c r="L242" s="10"/>
      <c r="M242" s="10"/>
    </row>
    <row r="243" spans="2:15" x14ac:dyDescent="0.25">
      <c r="B243" s="12" t="s">
        <v>2</v>
      </c>
      <c r="C243" s="10"/>
      <c r="D243" s="12" t="s">
        <v>7</v>
      </c>
      <c r="E243" s="12" t="s">
        <v>8</v>
      </c>
      <c r="F243" s="11"/>
      <c r="G243" s="10"/>
      <c r="H243" s="10" t="s">
        <v>11</v>
      </c>
      <c r="I243" s="10"/>
      <c r="J243" s="10"/>
      <c r="K243" s="10" t="s">
        <v>67</v>
      </c>
      <c r="L243" s="10"/>
      <c r="M243" s="10"/>
    </row>
    <row r="244" spans="2:15" x14ac:dyDescent="0.25">
      <c r="B244" s="12" t="s">
        <v>3</v>
      </c>
      <c r="C244" s="10"/>
      <c r="D244" s="12"/>
      <c r="E244" s="12" t="s">
        <v>9</v>
      </c>
      <c r="F244" s="11" t="s">
        <v>5</v>
      </c>
      <c r="G244" s="10"/>
      <c r="H244" s="10"/>
      <c r="I244" s="10"/>
      <c r="J244" s="10"/>
      <c r="K244" s="10"/>
      <c r="L244" s="10" t="s">
        <v>65</v>
      </c>
      <c r="M244" s="10" t="s">
        <v>66</v>
      </c>
    </row>
    <row r="245" spans="2:15" x14ac:dyDescent="0.25">
      <c r="B245" s="13">
        <v>19.05</v>
      </c>
      <c r="C245" s="10"/>
      <c r="D245" s="10">
        <v>10</v>
      </c>
      <c r="E245" s="10">
        <v>0.13400000000000001</v>
      </c>
      <c r="F245" s="14">
        <v>3.4039999999999999</v>
      </c>
      <c r="G245" s="10"/>
      <c r="H245" s="12">
        <v>30</v>
      </c>
      <c r="I245" s="10"/>
      <c r="J245" s="10"/>
      <c r="K245" s="10">
        <v>30</v>
      </c>
      <c r="L245" s="15">
        <f>SQRT(3)/2</f>
        <v>0.8660254037844386</v>
      </c>
      <c r="M245" s="15">
        <v>0.5</v>
      </c>
    </row>
    <row r="246" spans="2:15" x14ac:dyDescent="0.25">
      <c r="B246" s="13">
        <v>25.4</v>
      </c>
      <c r="C246" s="10"/>
      <c r="D246" s="10">
        <v>11</v>
      </c>
      <c r="E246" s="10">
        <v>0.12</v>
      </c>
      <c r="F246" s="14">
        <v>3.048</v>
      </c>
      <c r="G246" s="10"/>
      <c r="H246" s="12">
        <v>45</v>
      </c>
      <c r="I246" s="10"/>
      <c r="J246" s="10"/>
      <c r="K246" s="10">
        <v>45</v>
      </c>
      <c r="L246" s="15">
        <f>1/SQRT(2)</f>
        <v>0.70710678118654746</v>
      </c>
      <c r="M246" s="15">
        <f>1/SQRT(2)</f>
        <v>0.70710678118654746</v>
      </c>
    </row>
    <row r="247" spans="2:15" x14ac:dyDescent="0.25">
      <c r="B247" s="13">
        <v>31.75</v>
      </c>
      <c r="C247" s="10"/>
      <c r="D247" s="10">
        <v>12</v>
      </c>
      <c r="E247" s="10">
        <v>0.109</v>
      </c>
      <c r="F247" s="14">
        <v>2.7690000000000001</v>
      </c>
      <c r="G247" s="10"/>
      <c r="H247" s="12">
        <v>90</v>
      </c>
      <c r="I247" s="10"/>
      <c r="J247" s="10"/>
      <c r="K247" s="10">
        <v>90</v>
      </c>
      <c r="L247" s="15">
        <v>1</v>
      </c>
      <c r="M247" s="15">
        <v>1</v>
      </c>
    </row>
    <row r="248" spans="2:15" x14ac:dyDescent="0.25">
      <c r="B248" s="13">
        <v>38.1</v>
      </c>
      <c r="C248" s="10"/>
      <c r="D248" s="10">
        <v>13</v>
      </c>
      <c r="E248" s="10">
        <v>9.5000000000000001E-2</v>
      </c>
      <c r="F248" s="14">
        <v>2.4129999999999998</v>
      </c>
      <c r="G248" s="10"/>
      <c r="H248" s="10"/>
      <c r="I248" s="10"/>
      <c r="J248" s="10"/>
      <c r="K248" s="10"/>
      <c r="L248" s="15"/>
      <c r="M248" s="15"/>
    </row>
    <row r="249" spans="2:15" x14ac:dyDescent="0.25">
      <c r="B249" s="13">
        <v>50.8</v>
      </c>
      <c r="C249" s="10"/>
      <c r="D249" s="10">
        <v>14</v>
      </c>
      <c r="E249" s="10">
        <v>8.3000000000000004E-2</v>
      </c>
      <c r="F249" s="14">
        <v>2.1080000000000001</v>
      </c>
      <c r="G249" s="10"/>
      <c r="H249" s="10"/>
      <c r="I249" s="10"/>
      <c r="J249" s="10"/>
      <c r="K249" s="10" t="s">
        <v>54</v>
      </c>
      <c r="L249" s="10"/>
      <c r="M249" s="10"/>
    </row>
    <row r="250" spans="2:15" x14ac:dyDescent="0.25">
      <c r="B250" s="16"/>
      <c r="C250" s="10"/>
      <c r="D250" s="10">
        <v>15</v>
      </c>
      <c r="E250" s="10">
        <v>7.1999999999999995E-2</v>
      </c>
      <c r="F250" s="14">
        <v>1.829</v>
      </c>
      <c r="G250" s="10"/>
      <c r="H250" s="17" t="s">
        <v>13</v>
      </c>
      <c r="I250" s="10"/>
      <c r="J250" s="10"/>
      <c r="K250" s="10" t="s">
        <v>219</v>
      </c>
      <c r="L250" s="10"/>
      <c r="M250" s="18">
        <v>38.69</v>
      </c>
      <c r="N250" s="3"/>
      <c r="O250" s="3"/>
    </row>
    <row r="251" spans="2:15" x14ac:dyDescent="0.25">
      <c r="B251" s="16"/>
      <c r="C251" s="10"/>
      <c r="D251" s="10">
        <v>16</v>
      </c>
      <c r="E251" s="10">
        <v>6.5000000000000002E-2</v>
      </c>
      <c r="F251" s="14">
        <v>1.651</v>
      </c>
      <c r="G251" s="10"/>
      <c r="H251" s="10">
        <v>1.25</v>
      </c>
      <c r="I251" s="10"/>
      <c r="J251" s="10"/>
      <c r="K251" s="10" t="s">
        <v>220</v>
      </c>
      <c r="L251" s="10"/>
      <c r="M251" s="18">
        <v>324.42</v>
      </c>
      <c r="N251" s="3"/>
      <c r="O251" s="3"/>
    </row>
    <row r="252" spans="2:15" x14ac:dyDescent="0.25">
      <c r="B252" s="10"/>
      <c r="C252" s="10"/>
      <c r="D252" s="10">
        <v>17</v>
      </c>
      <c r="E252" s="10">
        <v>5.8000000000000003E-2</v>
      </c>
      <c r="F252" s="14">
        <v>1.4730000000000001</v>
      </c>
      <c r="G252" s="10"/>
      <c r="H252" s="10">
        <v>1.2849999999999999</v>
      </c>
      <c r="I252" s="10"/>
      <c r="J252" s="10"/>
      <c r="K252" s="10" t="s">
        <v>221</v>
      </c>
      <c r="L252" s="10"/>
      <c r="M252" s="18">
        <v>12.95</v>
      </c>
      <c r="N252" s="3"/>
      <c r="O252" s="3"/>
    </row>
    <row r="253" spans="2:15" x14ac:dyDescent="0.25">
      <c r="B253" s="10"/>
      <c r="C253" s="10"/>
      <c r="D253" s="10">
        <v>18</v>
      </c>
      <c r="E253" s="10">
        <v>4.9000000000000002E-2</v>
      </c>
      <c r="F253" s="14">
        <v>1.2450000000000001</v>
      </c>
      <c r="G253" s="10"/>
      <c r="H253" s="10">
        <v>1.33</v>
      </c>
      <c r="I253" s="10"/>
      <c r="J253" s="10"/>
      <c r="K253" s="10" t="s">
        <v>222</v>
      </c>
      <c r="L253" s="10"/>
      <c r="M253" s="18">
        <v>21.28</v>
      </c>
      <c r="N253" s="3"/>
      <c r="O253" s="3"/>
    </row>
    <row r="254" spans="2:15" x14ac:dyDescent="0.25">
      <c r="B254" s="10"/>
      <c r="C254" s="10"/>
      <c r="D254" s="10">
        <v>19</v>
      </c>
      <c r="E254" s="10">
        <v>4.2000000000000003E-2</v>
      </c>
      <c r="F254" s="14">
        <v>1.0669999999999999</v>
      </c>
      <c r="G254" s="10"/>
      <c r="H254" s="10">
        <v>1.5</v>
      </c>
      <c r="I254" s="10"/>
      <c r="J254" s="10"/>
      <c r="K254" s="10" t="s">
        <v>223</v>
      </c>
      <c r="L254" s="10"/>
      <c r="M254" s="18">
        <v>52.09</v>
      </c>
      <c r="N254" s="3"/>
      <c r="O254" s="3"/>
    </row>
    <row r="255" spans="2:15" x14ac:dyDescent="0.25">
      <c r="B255" s="10"/>
      <c r="C255" s="10"/>
      <c r="D255" s="10">
        <v>20</v>
      </c>
      <c r="E255" s="10">
        <v>3.5000000000000003E-2</v>
      </c>
      <c r="F255" s="14">
        <v>0.88900000000000001</v>
      </c>
      <c r="G255" s="10"/>
      <c r="H255" s="10"/>
      <c r="I255" s="10"/>
      <c r="J255" s="10"/>
      <c r="K255" s="10" t="s">
        <v>224</v>
      </c>
      <c r="L255" s="10"/>
      <c r="M255" s="18">
        <v>13.54</v>
      </c>
      <c r="N255" s="3"/>
      <c r="O255" s="3"/>
    </row>
    <row r="256" spans="2:15" x14ac:dyDescent="0.25">
      <c r="B256" s="10"/>
      <c r="C256" s="10"/>
      <c r="D256" s="10">
        <v>21</v>
      </c>
      <c r="E256" s="10">
        <v>3.2000000000000001E-2</v>
      </c>
      <c r="F256" s="14">
        <v>0.81299999999999994</v>
      </c>
      <c r="G256" s="10"/>
      <c r="H256" s="10"/>
      <c r="I256" s="10"/>
      <c r="J256" s="10"/>
      <c r="K256" s="10"/>
      <c r="L256" s="10"/>
      <c r="M256" s="10"/>
    </row>
    <row r="257" spans="2:13" x14ac:dyDescent="0.25">
      <c r="B257" s="10"/>
      <c r="C257" s="10"/>
      <c r="D257" s="10">
        <v>22</v>
      </c>
      <c r="E257" s="10">
        <v>2.8000000000000001E-2</v>
      </c>
      <c r="F257" s="14">
        <v>0.71099999999999997</v>
      </c>
      <c r="G257" s="10"/>
      <c r="H257" s="10"/>
      <c r="I257" s="10"/>
      <c r="J257" s="10"/>
      <c r="K257" s="10"/>
      <c r="L257" s="10"/>
      <c r="M257" s="10"/>
    </row>
    <row r="258" spans="2:13" x14ac:dyDescent="0.25">
      <c r="B258" s="10"/>
      <c r="C258" s="10"/>
      <c r="D258" s="10">
        <v>23</v>
      </c>
      <c r="E258" s="10">
        <v>2.5000000000000001E-2</v>
      </c>
      <c r="F258" s="14">
        <v>0.63500000000000001</v>
      </c>
      <c r="G258" s="10"/>
      <c r="H258" s="10"/>
      <c r="I258" s="10"/>
      <c r="J258" s="10"/>
      <c r="K258" s="10"/>
      <c r="L258" s="10" t="s">
        <v>263</v>
      </c>
      <c r="M258" s="10"/>
    </row>
    <row r="259" spans="2:13" x14ac:dyDescent="0.25">
      <c r="B259" s="10"/>
      <c r="C259" s="10"/>
      <c r="D259" s="10">
        <v>24</v>
      </c>
      <c r="E259" s="10">
        <v>2.1999999999999999E-2</v>
      </c>
      <c r="F259" s="14">
        <v>0.55900000000000005</v>
      </c>
      <c r="G259" s="10"/>
      <c r="H259" s="10"/>
      <c r="I259" s="10"/>
      <c r="J259" s="10"/>
      <c r="K259" s="10"/>
      <c r="L259" s="10"/>
      <c r="M259" s="10" t="s">
        <v>259</v>
      </c>
    </row>
    <row r="260" spans="2:13" x14ac:dyDescent="0.25">
      <c r="B260" s="10"/>
      <c r="C260" s="10"/>
      <c r="D260" s="10"/>
      <c r="E260" s="10"/>
      <c r="F260" s="11"/>
      <c r="G260" s="10"/>
      <c r="H260" s="10"/>
      <c r="I260" s="10"/>
      <c r="J260" s="10"/>
      <c r="K260" s="10"/>
      <c r="L260" s="10"/>
      <c r="M260" s="10" t="s">
        <v>260</v>
      </c>
    </row>
    <row r="261" spans="2:13" x14ac:dyDescent="0.25">
      <c r="B261" s="20" t="s">
        <v>80</v>
      </c>
      <c r="C261" s="10"/>
      <c r="D261" s="10"/>
      <c r="E261" s="10"/>
      <c r="F261" s="11"/>
      <c r="G261" s="10"/>
      <c r="H261" s="10"/>
      <c r="I261" s="10"/>
      <c r="J261" s="10"/>
      <c r="K261" s="10"/>
      <c r="L261" s="10"/>
      <c r="M261" s="10"/>
    </row>
    <row r="262" spans="2:13" x14ac:dyDescent="0.25">
      <c r="B262" s="22" t="s">
        <v>81</v>
      </c>
      <c r="C262" s="10" t="s">
        <v>82</v>
      </c>
      <c r="D262" s="10" t="s">
        <v>83</v>
      </c>
      <c r="E262" s="10" t="s">
        <v>84</v>
      </c>
      <c r="F262" s="11" t="s">
        <v>85</v>
      </c>
      <c r="G262" s="10" t="s">
        <v>86</v>
      </c>
      <c r="H262" s="10" t="s">
        <v>87</v>
      </c>
      <c r="I262" s="10" t="s">
        <v>88</v>
      </c>
      <c r="J262" s="10" t="s">
        <v>89</v>
      </c>
      <c r="K262" s="10" t="s">
        <v>90</v>
      </c>
      <c r="L262" s="10"/>
      <c r="M262" s="10"/>
    </row>
    <row r="263" spans="2:13" x14ac:dyDescent="0.25">
      <c r="B263" s="10">
        <v>30</v>
      </c>
      <c r="C263" s="10">
        <v>0</v>
      </c>
      <c r="D263" s="10">
        <v>1.4</v>
      </c>
      <c r="E263" s="10">
        <v>-0.66700000000000004</v>
      </c>
      <c r="F263" s="11">
        <v>1.45</v>
      </c>
      <c r="G263" s="10">
        <v>0.51900000000000002</v>
      </c>
      <c r="H263" s="10">
        <v>48</v>
      </c>
      <c r="I263" s="10">
        <v>-1</v>
      </c>
      <c r="J263" s="10">
        <v>7</v>
      </c>
      <c r="K263" s="10">
        <v>0.5</v>
      </c>
      <c r="L263" s="10"/>
      <c r="M263" s="10"/>
    </row>
    <row r="264" spans="2:13" x14ac:dyDescent="0.25">
      <c r="B264" s="10">
        <v>30</v>
      </c>
      <c r="C264" s="10">
        <v>10</v>
      </c>
      <c r="D264" s="10">
        <v>1.36</v>
      </c>
      <c r="E264" s="10">
        <v>-0.65700000000000003</v>
      </c>
      <c r="F264" s="11">
        <v>1.45</v>
      </c>
      <c r="G264" s="10">
        <v>0.51900000000000002</v>
      </c>
      <c r="H264" s="10">
        <v>45.1</v>
      </c>
      <c r="I264" s="10">
        <v>-0.97299999999999998</v>
      </c>
      <c r="J264" s="10">
        <v>7</v>
      </c>
      <c r="K264" s="10">
        <v>0.5</v>
      </c>
      <c r="L264" s="10"/>
      <c r="M264" s="10"/>
    </row>
    <row r="265" spans="2:13" x14ac:dyDescent="0.25">
      <c r="B265" s="10">
        <v>30</v>
      </c>
      <c r="C265" s="10">
        <v>100</v>
      </c>
      <c r="D265" s="10">
        <v>0.59299999999999997</v>
      </c>
      <c r="E265" s="10">
        <v>-0.47699999999999998</v>
      </c>
      <c r="F265" s="11">
        <v>1.45</v>
      </c>
      <c r="G265" s="10">
        <v>0.51900000000000002</v>
      </c>
      <c r="H265" s="10">
        <v>4.57</v>
      </c>
      <c r="I265" s="10">
        <v>-0.47599999999999998</v>
      </c>
      <c r="J265" s="10">
        <v>7</v>
      </c>
      <c r="K265" s="10">
        <v>0.5</v>
      </c>
      <c r="L265" s="10"/>
      <c r="M265" s="10"/>
    </row>
    <row r="266" spans="2:13" x14ac:dyDescent="0.25">
      <c r="B266" s="10">
        <v>30</v>
      </c>
      <c r="C266" s="10">
        <v>1000</v>
      </c>
      <c r="D266" s="10">
        <v>0.32100000000000001</v>
      </c>
      <c r="E266" s="10">
        <v>-0.38800000000000001</v>
      </c>
      <c r="F266" s="11">
        <v>1.45</v>
      </c>
      <c r="G266" s="10">
        <v>0.51900000000000002</v>
      </c>
      <c r="H266" s="10">
        <v>0.48599999999999999</v>
      </c>
      <c r="I266" s="10">
        <v>-0.152</v>
      </c>
      <c r="J266" s="10">
        <v>7</v>
      </c>
      <c r="K266" s="10">
        <v>0.5</v>
      </c>
      <c r="L266" s="10"/>
      <c r="M266" s="10"/>
    </row>
    <row r="267" spans="2:13" x14ac:dyDescent="0.25">
      <c r="B267" s="10">
        <v>30</v>
      </c>
      <c r="C267" s="10">
        <v>10000</v>
      </c>
      <c r="D267" s="10">
        <v>0.32100000000000001</v>
      </c>
      <c r="E267" s="10">
        <v>-0.38800000000000001</v>
      </c>
      <c r="F267" s="11">
        <v>1.45</v>
      </c>
      <c r="G267" s="10">
        <v>0.51900000000000002</v>
      </c>
      <c r="H267" s="10">
        <v>0.372</v>
      </c>
      <c r="I267" s="10">
        <v>-0.123</v>
      </c>
      <c r="J267" s="10">
        <v>7</v>
      </c>
      <c r="K267" s="10">
        <v>0.5</v>
      </c>
      <c r="L267" s="10"/>
      <c r="M267" s="10"/>
    </row>
    <row r="268" spans="2:13" x14ac:dyDescent="0.25">
      <c r="B268" s="10">
        <v>45</v>
      </c>
      <c r="C268" s="10">
        <v>0</v>
      </c>
      <c r="D268" s="10">
        <v>1.55</v>
      </c>
      <c r="E268" s="10">
        <v>-0.66700000000000004</v>
      </c>
      <c r="F268" s="11">
        <v>1.93</v>
      </c>
      <c r="G268" s="10">
        <v>0.5</v>
      </c>
      <c r="H268" s="10">
        <v>32</v>
      </c>
      <c r="I268" s="10">
        <v>-1</v>
      </c>
      <c r="J268" s="10">
        <v>6.59</v>
      </c>
      <c r="K268" s="10">
        <v>0.52</v>
      </c>
      <c r="L268" s="10"/>
      <c r="M268" s="10"/>
    </row>
    <row r="269" spans="2:13" x14ac:dyDescent="0.25">
      <c r="B269" s="10">
        <v>45</v>
      </c>
      <c r="C269" s="10">
        <v>10</v>
      </c>
      <c r="D269" s="10">
        <v>0.498</v>
      </c>
      <c r="E269" s="10">
        <v>-0.65600000000000003</v>
      </c>
      <c r="F269" s="11">
        <v>1.93</v>
      </c>
      <c r="G269" s="10">
        <v>0.5</v>
      </c>
      <c r="H269" s="10">
        <v>26.2</v>
      </c>
      <c r="I269" s="10">
        <v>-0.91300000000000003</v>
      </c>
      <c r="J269" s="10">
        <v>6.59</v>
      </c>
      <c r="K269" s="10">
        <v>0.52</v>
      </c>
      <c r="L269" s="10"/>
      <c r="M269" s="10"/>
    </row>
    <row r="270" spans="2:13" x14ac:dyDescent="0.25">
      <c r="B270" s="10">
        <v>45</v>
      </c>
      <c r="C270" s="10">
        <v>100</v>
      </c>
      <c r="D270" s="10">
        <v>0.73</v>
      </c>
      <c r="E270" s="10">
        <v>-0.5</v>
      </c>
      <c r="F270" s="11">
        <v>1.93</v>
      </c>
      <c r="G270" s="10">
        <v>0.5</v>
      </c>
      <c r="H270" s="10">
        <v>3.5</v>
      </c>
      <c r="I270" s="10">
        <v>-0.47599999999999998</v>
      </c>
      <c r="J270" s="10">
        <v>6.59</v>
      </c>
      <c r="K270" s="10">
        <v>0.52</v>
      </c>
      <c r="L270" s="10"/>
      <c r="M270" s="10"/>
    </row>
    <row r="271" spans="2:13" x14ac:dyDescent="0.25">
      <c r="B271" s="10">
        <v>45</v>
      </c>
      <c r="C271" s="10">
        <v>1000</v>
      </c>
      <c r="D271" s="10">
        <v>0.37</v>
      </c>
      <c r="E271" s="10">
        <v>-0.39600000000000002</v>
      </c>
      <c r="F271" s="11">
        <v>1.93</v>
      </c>
      <c r="G271" s="10">
        <v>0.5</v>
      </c>
      <c r="H271" s="10">
        <v>0.33300000000000002</v>
      </c>
      <c r="I271" s="10">
        <v>-0.13600000000000001</v>
      </c>
      <c r="J271" s="10">
        <v>6.59</v>
      </c>
      <c r="K271" s="10">
        <v>0.52</v>
      </c>
      <c r="L271" s="10"/>
      <c r="M271" s="10"/>
    </row>
    <row r="272" spans="2:13" x14ac:dyDescent="0.25">
      <c r="B272" s="10">
        <v>45</v>
      </c>
      <c r="C272" s="10">
        <v>10000</v>
      </c>
      <c r="D272" s="10">
        <v>0.37</v>
      </c>
      <c r="E272" s="10">
        <v>-0.39600000000000002</v>
      </c>
      <c r="F272" s="11">
        <v>1.93</v>
      </c>
      <c r="G272" s="10">
        <v>0.5</v>
      </c>
      <c r="H272" s="10">
        <v>0.30299999999999999</v>
      </c>
      <c r="I272" s="10">
        <v>-0.126</v>
      </c>
      <c r="J272" s="10">
        <v>6.59</v>
      </c>
      <c r="K272" s="10">
        <v>0.52</v>
      </c>
      <c r="L272" s="10"/>
      <c r="M272" s="10"/>
    </row>
    <row r="273" spans="2:13" x14ac:dyDescent="0.25">
      <c r="B273" s="10">
        <v>90</v>
      </c>
      <c r="C273" s="10">
        <v>0</v>
      </c>
      <c r="D273" s="10">
        <v>0.97</v>
      </c>
      <c r="E273" s="10">
        <v>-0.66700000000000004</v>
      </c>
      <c r="F273" s="11">
        <v>1.1870000000000001</v>
      </c>
      <c r="G273" s="10">
        <v>0.37</v>
      </c>
      <c r="H273" s="10">
        <v>35</v>
      </c>
      <c r="I273" s="10">
        <v>-1</v>
      </c>
      <c r="J273" s="10">
        <v>6.3</v>
      </c>
      <c r="K273" s="10">
        <v>0.378</v>
      </c>
      <c r="L273" s="10"/>
      <c r="M273" s="10"/>
    </row>
    <row r="274" spans="2:13" x14ac:dyDescent="0.25">
      <c r="B274" s="10">
        <v>90</v>
      </c>
      <c r="C274" s="10">
        <v>10</v>
      </c>
      <c r="D274" s="10">
        <v>0.9</v>
      </c>
      <c r="E274" s="10">
        <v>-0.63100000000000001</v>
      </c>
      <c r="F274" s="11">
        <v>1.1870000000000001</v>
      </c>
      <c r="G274" s="10">
        <v>0.37</v>
      </c>
      <c r="H274" s="10">
        <v>32.1</v>
      </c>
      <c r="I274" s="10">
        <v>-0.96299999999999997</v>
      </c>
      <c r="J274" s="10">
        <v>6.3</v>
      </c>
      <c r="K274" s="10">
        <v>0.378</v>
      </c>
      <c r="L274" s="10"/>
      <c r="M274" s="10"/>
    </row>
    <row r="275" spans="2:13" x14ac:dyDescent="0.25">
      <c r="B275" s="10">
        <v>90</v>
      </c>
      <c r="C275" s="10">
        <v>100</v>
      </c>
      <c r="D275" s="10">
        <v>0.40799999999999997</v>
      </c>
      <c r="E275" s="10">
        <v>-0.46</v>
      </c>
      <c r="F275" s="11">
        <v>1.1870000000000001</v>
      </c>
      <c r="G275" s="10">
        <v>0.37</v>
      </c>
      <c r="H275" s="10">
        <v>6.09</v>
      </c>
      <c r="I275" s="10">
        <v>-0.60199999999999998</v>
      </c>
      <c r="J275" s="10">
        <v>6.3</v>
      </c>
      <c r="K275" s="10">
        <v>0.378</v>
      </c>
      <c r="L275" s="10"/>
      <c r="M275" s="10"/>
    </row>
    <row r="276" spans="2:13" x14ac:dyDescent="0.25">
      <c r="B276" s="10">
        <v>90</v>
      </c>
      <c r="C276" s="10">
        <v>1000</v>
      </c>
      <c r="D276" s="10">
        <v>0.107</v>
      </c>
      <c r="E276" s="10">
        <v>-0.26600000000000001</v>
      </c>
      <c r="F276" s="11">
        <v>1.1870000000000001</v>
      </c>
      <c r="G276" s="10">
        <v>0.37</v>
      </c>
      <c r="H276" s="10">
        <v>8.1500000000000003E-2</v>
      </c>
      <c r="I276" s="10">
        <v>2.1999999999999999E-2</v>
      </c>
      <c r="J276" s="10">
        <v>6.3</v>
      </c>
      <c r="K276" s="10">
        <v>0.378</v>
      </c>
      <c r="L276" s="10"/>
      <c r="M276" s="10"/>
    </row>
    <row r="277" spans="2:13" x14ac:dyDescent="0.25">
      <c r="B277" s="10">
        <v>90</v>
      </c>
      <c r="C277" s="10">
        <v>10000</v>
      </c>
      <c r="D277" s="10">
        <v>0.37</v>
      </c>
      <c r="E277" s="10">
        <v>-0.39500000000000002</v>
      </c>
      <c r="F277" s="11">
        <v>1.1870000000000001</v>
      </c>
      <c r="G277" s="10">
        <v>0.37</v>
      </c>
      <c r="H277" s="10">
        <v>0.39100000000000001</v>
      </c>
      <c r="I277" s="10">
        <v>-0.14799999999999999</v>
      </c>
      <c r="J277" s="10">
        <v>6.3</v>
      </c>
      <c r="K277" s="10">
        <v>0.378</v>
      </c>
      <c r="L277" s="10"/>
      <c r="M277" s="10"/>
    </row>
  </sheetData>
  <mergeCells count="5">
    <mergeCell ref="B2:K2"/>
    <mergeCell ref="J3:K3"/>
    <mergeCell ref="J4:K4"/>
    <mergeCell ref="J5:K5"/>
    <mergeCell ref="J6:K6"/>
  </mergeCells>
  <dataValidations count="6">
    <dataValidation type="list" allowBlank="1" showInputMessage="1" showErrorMessage="1" sqref="G40:K40">
      <formula1>$B$245:$B$249</formula1>
    </dataValidation>
    <dataValidation type="list" allowBlank="1" showInputMessage="1" showErrorMessage="1" sqref="G41:K41">
      <formula1>$D$245:$D$259</formula1>
    </dataValidation>
    <dataValidation type="list" allowBlank="1" showInputMessage="1" showErrorMessage="1" sqref="G44:K44">
      <formula1>$H$245:$H$247</formula1>
    </dataValidation>
    <dataValidation type="list" allowBlank="1" showInputMessage="1" showErrorMessage="1" sqref="G45:K45">
      <formula1>$H$251:$H$254</formula1>
    </dataValidation>
    <dataValidation type="list" allowBlank="1" showInputMessage="1" showErrorMessage="1" sqref="G47:K47">
      <formula1>$K$250:$K$255</formula1>
    </dataValidation>
    <dataValidation type="list" allowBlank="1" showInputMessage="1" showErrorMessage="1" sqref="G33:K33">
      <formula1>$M$259:$M$260</formula1>
    </dataValidation>
  </dataValidations>
  <hyperlinks>
    <hyperlink ref="B3" r:id="rId1"/>
  </hyperlinks>
  <pageMargins left="0.23622047244094491" right="0.23622047244094491" top="0.74803149606299213" bottom="0.74803149606299213" header="0.31496062992125984" footer="0.31496062992125984"/>
  <pageSetup paperSize="9" orientation="landscape" horizontalDpi="4294967293" verticalDpi="4294967293" r:id="rId2"/>
  <headerFooter>
    <oddFooter>&amp;C&amp;"-,Italic"Page &amp;P of &amp;N</oddFooter>
  </headerFooter>
  <rowBreaks count="1" manualBreakCount="1">
    <brk id="23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Calculation</vt:lpstr>
      <vt:lpstr>Calculation!Print_Area</vt:lpstr>
      <vt:lpstr>Calculation!Print_Titles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cp:lastPrinted>2017-03-26T03:23:08Z</cp:lastPrinted>
  <dcterms:created xsi:type="dcterms:W3CDTF">2016-12-07T17:07:02Z</dcterms:created>
  <dcterms:modified xsi:type="dcterms:W3CDTF">2017-11-02T18:21:41Z</dcterms:modified>
</cp:coreProperties>
</file>