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575"/>
  </bookViews>
  <sheets>
    <sheet name="Calculation" sheetId="2" r:id="rId1"/>
    <sheet name="Air_Properties" sheetId="1" r:id="rId2"/>
    <sheet name="Properties" sheetId="4" r:id="rId3"/>
  </sheets>
  <definedNames>
    <definedName name="_xlnm.Print_Area" localSheetId="0">Calculation!$A$1:$K$93</definedName>
    <definedName name="_xlnm.Print_Area" localSheetId="2">Properties!$A$1:$K$29</definedName>
    <definedName name="_xlnm.Print_Titles" localSheetId="0">Calculation!$1:$5</definedName>
  </definedNames>
  <calcPr calcId="145621"/>
</workbook>
</file>

<file path=xl/calcChain.xml><?xml version="1.0" encoding="utf-8"?>
<calcChain xmlns="http://schemas.openxmlformats.org/spreadsheetml/2006/main">
  <c r="K37" i="2" l="1"/>
  <c r="G37" i="2"/>
  <c r="K78" i="2" l="1"/>
  <c r="J78" i="2"/>
  <c r="I78" i="2"/>
  <c r="H78" i="2"/>
  <c r="G78" i="2"/>
  <c r="J37" i="2"/>
  <c r="I37" i="2"/>
  <c r="H37" i="2"/>
  <c r="G80" i="2" l="1"/>
  <c r="G39" i="2"/>
  <c r="H89" i="2" l="1"/>
  <c r="I89" i="2"/>
  <c r="J89" i="2"/>
  <c r="K89" i="2"/>
  <c r="G84" i="2"/>
  <c r="G85" i="2" s="1"/>
  <c r="G83" i="2"/>
  <c r="G89" i="2"/>
  <c r="G88" i="2"/>
  <c r="H88" i="2" l="1"/>
  <c r="I88" i="2"/>
  <c r="J88" i="2"/>
  <c r="K88" i="2"/>
  <c r="H47" i="2"/>
  <c r="I47" i="2"/>
  <c r="J47" i="2"/>
  <c r="K47" i="2"/>
  <c r="H48" i="2"/>
  <c r="I48" i="2"/>
  <c r="J48" i="2"/>
  <c r="K48" i="2"/>
  <c r="G75" i="2"/>
  <c r="G74" i="2"/>
  <c r="G50" i="2"/>
  <c r="G48" i="2"/>
  <c r="G43" i="2"/>
  <c r="G41" i="2"/>
  <c r="G40" i="2"/>
  <c r="G33" i="2"/>
  <c r="G31" i="2"/>
  <c r="G26" i="2"/>
  <c r="G25" i="2"/>
  <c r="G23" i="2"/>
  <c r="G52" i="2" l="1"/>
  <c r="G61" i="2" l="1"/>
  <c r="E16" i="2" l="1"/>
  <c r="H62" i="2"/>
  <c r="I62" i="2" s="1"/>
  <c r="J62" i="2" s="1"/>
  <c r="K62" i="2" s="1"/>
  <c r="G20" i="2" l="1"/>
  <c r="G64" i="2" l="1"/>
  <c r="G65" i="2" s="1"/>
  <c r="G70" i="2" s="1"/>
  <c r="G69" i="2" l="1"/>
  <c r="G47" i="2" l="1"/>
  <c r="D18" i="4" l="1"/>
  <c r="D19" i="4"/>
  <c r="D20" i="4"/>
  <c r="D21" i="4"/>
  <c r="D22" i="4"/>
  <c r="D17" i="4"/>
  <c r="G18" i="4" a="1"/>
  <c r="G18" i="4" s="1"/>
  <c r="G9" i="4" a="1"/>
  <c r="J9" i="4" s="1"/>
  <c r="E6" i="2"/>
  <c r="E7" i="2"/>
  <c r="H20" i="4" l="1"/>
  <c r="I19" i="4"/>
  <c r="J18" i="4"/>
  <c r="K20" i="4"/>
  <c r="G20" i="4"/>
  <c r="H19" i="4"/>
  <c r="I18" i="4"/>
  <c r="J20" i="4"/>
  <c r="K19" i="4"/>
  <c r="G19" i="4"/>
  <c r="H18" i="4"/>
  <c r="I20" i="4"/>
  <c r="J19" i="4"/>
  <c r="K18" i="4"/>
  <c r="I11" i="4"/>
  <c r="I10" i="4"/>
  <c r="I9" i="4"/>
  <c r="H11" i="4"/>
  <c r="H10" i="4"/>
  <c r="H9" i="4"/>
  <c r="G11" i="4"/>
  <c r="G10" i="4"/>
  <c r="G9" i="4"/>
  <c r="J11" i="4"/>
  <c r="J10" i="4"/>
  <c r="G24" i="2"/>
  <c r="G21" i="2"/>
  <c r="G51" i="2" s="1"/>
  <c r="G29" i="2" l="1"/>
  <c r="G28" i="2"/>
  <c r="D11" i="4"/>
  <c r="D12" i="4"/>
  <c r="D9" i="4"/>
  <c r="D10" i="4"/>
  <c r="Q34" i="1" l="1" a="1"/>
  <c r="Q34" i="1" s="1"/>
  <c r="Q28" i="1" a="1"/>
  <c r="T28" i="1" s="1"/>
  <c r="Q22" i="1" a="1"/>
  <c r="Q22" i="1" s="1"/>
  <c r="Q16" i="1" a="1"/>
  <c r="Q16" i="1" s="1"/>
  <c r="Q10" i="1" a="1"/>
  <c r="Q10" i="1" s="1"/>
  <c r="Q4" i="1" a="1"/>
  <c r="T4" i="1" s="1"/>
  <c r="G68" i="2" l="1"/>
  <c r="O17" i="1"/>
  <c r="U36" i="1"/>
  <c r="Q36" i="1"/>
  <c r="R35" i="1"/>
  <c r="S34" i="1"/>
  <c r="O21" i="1" s="1"/>
  <c r="R36" i="1"/>
  <c r="S35" i="1"/>
  <c r="T34" i="1"/>
  <c r="T36" i="1"/>
  <c r="U35" i="1"/>
  <c r="Q35" i="1"/>
  <c r="R34" i="1"/>
  <c r="O16" i="1" s="1"/>
  <c r="S36" i="1"/>
  <c r="T35" i="1"/>
  <c r="U34" i="1"/>
  <c r="U30" i="1"/>
  <c r="Q30" i="1"/>
  <c r="R29" i="1"/>
  <c r="S28" i="1"/>
  <c r="T30" i="1"/>
  <c r="U29" i="1"/>
  <c r="Q29" i="1"/>
  <c r="R28" i="1"/>
  <c r="S30" i="1"/>
  <c r="T29" i="1"/>
  <c r="U28" i="1"/>
  <c r="Q28" i="1"/>
  <c r="R30" i="1"/>
  <c r="S29" i="1"/>
  <c r="U24" i="1"/>
  <c r="Q24" i="1"/>
  <c r="R23" i="1"/>
  <c r="S22" i="1"/>
  <c r="T24" i="1"/>
  <c r="U23" i="1"/>
  <c r="Q23" i="1"/>
  <c r="R22" i="1"/>
  <c r="R24" i="1"/>
  <c r="S23" i="1"/>
  <c r="T22" i="1"/>
  <c r="S24" i="1"/>
  <c r="T23" i="1"/>
  <c r="U22" i="1"/>
  <c r="U18" i="1"/>
  <c r="Q18" i="1"/>
  <c r="R17" i="1"/>
  <c r="S16" i="1"/>
  <c r="R18" i="1"/>
  <c r="T16" i="1"/>
  <c r="T18" i="1"/>
  <c r="U17" i="1"/>
  <c r="Q17" i="1"/>
  <c r="R16" i="1"/>
  <c r="L12" i="1" s="1"/>
  <c r="S17" i="1"/>
  <c r="S18" i="1"/>
  <c r="T17" i="1"/>
  <c r="U16" i="1"/>
  <c r="T10" i="1"/>
  <c r="U12" i="1"/>
  <c r="Q12" i="1"/>
  <c r="R11" i="1"/>
  <c r="S10" i="1"/>
  <c r="S11" i="1"/>
  <c r="T12" i="1"/>
  <c r="U11" i="1"/>
  <c r="Q11" i="1"/>
  <c r="R10" i="1"/>
  <c r="K25" i="1" s="1"/>
  <c r="R12" i="1"/>
  <c r="S12" i="1"/>
  <c r="T11" i="1"/>
  <c r="U10" i="1"/>
  <c r="U6" i="1"/>
  <c r="Q6" i="1"/>
  <c r="R5" i="1"/>
  <c r="S4" i="1"/>
  <c r="S6" i="1"/>
  <c r="U4" i="1"/>
  <c r="T6" i="1"/>
  <c r="U5" i="1"/>
  <c r="Q5" i="1"/>
  <c r="R4" i="1"/>
  <c r="Q4" i="1"/>
  <c r="T5" i="1"/>
  <c r="R6" i="1"/>
  <c r="S5" i="1"/>
  <c r="G72" i="2" l="1"/>
  <c r="J13" i="1"/>
  <c r="J17" i="1"/>
  <c r="J21" i="1"/>
  <c r="J25" i="1"/>
  <c r="J10" i="1"/>
  <c r="J14" i="1"/>
  <c r="J18" i="1"/>
  <c r="J22" i="1"/>
  <c r="J26" i="1"/>
  <c r="J11" i="1"/>
  <c r="J15" i="1"/>
  <c r="J19" i="1"/>
  <c r="J23" i="1"/>
  <c r="J27" i="1"/>
  <c r="J12" i="1"/>
  <c r="J16" i="1"/>
  <c r="J20" i="1"/>
  <c r="J24" i="1"/>
  <c r="J9" i="1"/>
  <c r="G73" i="2"/>
  <c r="G32" i="2"/>
  <c r="N10" i="1"/>
  <c r="N14" i="1"/>
  <c r="N18" i="1"/>
  <c r="N22" i="1"/>
  <c r="N26" i="1"/>
  <c r="N11" i="1"/>
  <c r="N15" i="1"/>
  <c r="N19" i="1"/>
  <c r="N23" i="1"/>
  <c r="N27" i="1"/>
  <c r="N21" i="1"/>
  <c r="N12" i="1"/>
  <c r="N16" i="1"/>
  <c r="N20" i="1"/>
  <c r="N24" i="1"/>
  <c r="N9" i="1"/>
  <c r="N13" i="1"/>
  <c r="N17" i="1"/>
  <c r="N25" i="1"/>
  <c r="O13" i="1"/>
  <c r="G27" i="2"/>
  <c r="O18" i="1"/>
  <c r="M14" i="1"/>
  <c r="L10" i="1"/>
  <c r="L26" i="1"/>
  <c r="K22" i="1"/>
  <c r="O19" i="1"/>
  <c r="M15" i="1"/>
  <c r="L11" i="1"/>
  <c r="L27" i="1"/>
  <c r="K23" i="1"/>
  <c r="L13" i="1"/>
  <c r="G30" i="2"/>
  <c r="O20" i="1"/>
  <c r="M16" i="1"/>
  <c r="L16" i="1"/>
  <c r="K12" i="1"/>
  <c r="K9" i="1"/>
  <c r="G66" i="2"/>
  <c r="O22" i="1"/>
  <c r="M18" i="1"/>
  <c r="L14" i="1"/>
  <c r="K10" i="1"/>
  <c r="K26" i="1"/>
  <c r="O23" i="1"/>
  <c r="M19" i="1"/>
  <c r="L15" i="1"/>
  <c r="K11" i="1"/>
  <c r="K27" i="1"/>
  <c r="L17" i="1"/>
  <c r="G71" i="2"/>
  <c r="O24" i="1"/>
  <c r="M20" i="1"/>
  <c r="L20" i="1"/>
  <c r="K16" i="1"/>
  <c r="M13" i="1"/>
  <c r="K13" i="1"/>
  <c r="G67" i="2"/>
  <c r="K17" i="1"/>
  <c r="O26" i="1"/>
  <c r="M22" i="1"/>
  <c r="L18" i="1"/>
  <c r="K14" i="1"/>
  <c r="O11" i="1"/>
  <c r="O27" i="1"/>
  <c r="M23" i="1"/>
  <c r="L19" i="1"/>
  <c r="K15" i="1"/>
  <c r="M17" i="1"/>
  <c r="L21" i="1"/>
  <c r="O12" i="1"/>
  <c r="O9" i="1"/>
  <c r="M24" i="1"/>
  <c r="L24" i="1"/>
  <c r="K20" i="1"/>
  <c r="M21" i="1"/>
  <c r="K21" i="1"/>
  <c r="O10" i="1"/>
  <c r="O25" i="1"/>
  <c r="O14" i="1"/>
  <c r="M10" i="1"/>
  <c r="M26" i="1"/>
  <c r="L22" i="1"/>
  <c r="K18" i="1"/>
  <c r="O15" i="1"/>
  <c r="M11" i="1"/>
  <c r="M27" i="1"/>
  <c r="L23" i="1"/>
  <c r="K19" i="1"/>
  <c r="M25" i="1"/>
  <c r="L25" i="1"/>
  <c r="M12" i="1"/>
  <c r="M9" i="1"/>
  <c r="L9" i="1"/>
  <c r="K24" i="1"/>
  <c r="G34" i="2" l="1"/>
  <c r="G42" i="2" s="1"/>
  <c r="G82" i="2"/>
  <c r="G81" i="2" l="1"/>
  <c r="G86" i="2"/>
  <c r="G90" i="2" s="1"/>
  <c r="G91" i="2" s="1"/>
  <c r="G44" i="2"/>
  <c r="G45" i="2" s="1"/>
  <c r="G53" i="2" s="1"/>
  <c r="G54" i="2" s="1"/>
  <c r="G55" i="2" s="1"/>
  <c r="G57" i="2" l="1"/>
  <c r="G92" i="2"/>
  <c r="H61" i="2" s="1"/>
  <c r="H64" i="2" s="1"/>
  <c r="H65" i="2" s="1"/>
  <c r="G93" i="2"/>
  <c r="H67" i="2" l="1"/>
  <c r="H71" i="2"/>
  <c r="H74" i="2" s="1"/>
  <c r="H68" i="2"/>
  <c r="H72" i="2"/>
  <c r="H69" i="2"/>
  <c r="H73" i="2"/>
  <c r="H75" i="2" s="1"/>
  <c r="H82" i="2" s="1"/>
  <c r="H83" i="2" s="1"/>
  <c r="H66" i="2"/>
  <c r="H70" i="2"/>
  <c r="G56" i="2"/>
  <c r="H20" i="2" s="1"/>
  <c r="H21" i="2"/>
  <c r="H80" i="2" l="1"/>
  <c r="H23" i="2"/>
  <c r="H24" i="2" s="1"/>
  <c r="H50" i="2"/>
  <c r="H51" i="2" s="1"/>
  <c r="H52" i="2" s="1"/>
  <c r="H28" i="2" l="1"/>
  <c r="H25" i="2"/>
  <c r="H29" i="2"/>
  <c r="H26" i="2"/>
  <c r="H30" i="2"/>
  <c r="H33" i="2" s="1"/>
  <c r="H27" i="2"/>
  <c r="H31" i="2"/>
  <c r="H32" i="2"/>
  <c r="H81" i="2"/>
  <c r="H84" i="2"/>
  <c r="H39" i="2" l="1"/>
  <c r="H85" i="2"/>
  <c r="H86" i="2" s="1"/>
  <c r="H90" i="2" s="1"/>
  <c r="H91" i="2" s="1"/>
  <c r="H34" i="2"/>
  <c r="H41" i="2" s="1"/>
  <c r="H42" i="2" s="1"/>
  <c r="H93" i="2" l="1"/>
  <c r="H92" i="2"/>
  <c r="I61" i="2" s="1"/>
  <c r="I64" i="2" s="1"/>
  <c r="I65" i="2" s="1"/>
  <c r="I68" i="2" s="1"/>
  <c r="H40" i="2"/>
  <c r="H43" i="2"/>
  <c r="H44" i="2" s="1"/>
  <c r="H45" i="2" s="1"/>
  <c r="H53" i="2" s="1"/>
  <c r="H54" i="2" s="1"/>
  <c r="I70" i="2" l="1"/>
  <c r="I71" i="2"/>
  <c r="I74" i="2" s="1"/>
  <c r="I80" i="2" s="1"/>
  <c r="I66" i="2"/>
  <c r="I69" i="2"/>
  <c r="I67" i="2"/>
  <c r="I72" i="2"/>
  <c r="I73" i="2"/>
  <c r="I75" i="2" s="1"/>
  <c r="I82" i="2" s="1"/>
  <c r="I83" i="2" s="1"/>
  <c r="H55" i="2"/>
  <c r="H57" i="2"/>
  <c r="I81" i="2" l="1"/>
  <c r="H56" i="2"/>
  <c r="I20" i="2" s="1"/>
  <c r="I23" i="2" s="1"/>
  <c r="I24" i="2" s="1"/>
  <c r="I21" i="2"/>
  <c r="I84" i="2"/>
  <c r="I50" i="2" l="1"/>
  <c r="I51" i="2" s="1"/>
  <c r="I52" i="2" s="1"/>
  <c r="I26" i="2"/>
  <c r="I30" i="2"/>
  <c r="I33" i="2" s="1"/>
  <c r="I27" i="2"/>
  <c r="I31" i="2"/>
  <c r="I28" i="2"/>
  <c r="I32" i="2"/>
  <c r="I25" i="2"/>
  <c r="I29" i="2"/>
  <c r="I85" i="2"/>
  <c r="I86" i="2" s="1"/>
  <c r="I90" i="2" s="1"/>
  <c r="I91" i="2" s="1"/>
  <c r="I39" i="2" l="1"/>
  <c r="I40" i="2" s="1"/>
  <c r="I34" i="2"/>
  <c r="I41" i="2" s="1"/>
  <c r="I42" i="2" s="1"/>
  <c r="I93" i="2"/>
  <c r="I92" i="2"/>
  <c r="J61" i="2" s="1"/>
  <c r="J64" i="2" l="1"/>
  <c r="J65" i="2" s="1"/>
  <c r="J66" i="2" s="1"/>
  <c r="I43" i="2"/>
  <c r="I44" i="2" s="1"/>
  <c r="I45" i="2" s="1"/>
  <c r="I53" i="2" s="1"/>
  <c r="I54" i="2" s="1"/>
  <c r="J69" i="2"/>
  <c r="J73" i="2"/>
  <c r="J68" i="2"/>
  <c r="J71" i="2"/>
  <c r="J74" i="2" s="1"/>
  <c r="J67" i="2"/>
  <c r="J70" i="2"/>
  <c r="J72" i="2"/>
  <c r="J80" i="2" l="1"/>
  <c r="J81" i="2" s="1"/>
  <c r="I57" i="2"/>
  <c r="I55" i="2"/>
  <c r="J75" i="2"/>
  <c r="J82" i="2" s="1"/>
  <c r="J83" i="2" s="1"/>
  <c r="I56" i="2" l="1"/>
  <c r="J20" i="2" s="1"/>
  <c r="J21" i="2"/>
  <c r="J84" i="2"/>
  <c r="J85" i="2" s="1"/>
  <c r="J86" i="2" s="1"/>
  <c r="J90" i="2" s="1"/>
  <c r="J91" i="2" s="1"/>
  <c r="J23" i="2" l="1"/>
  <c r="J24" i="2" s="1"/>
  <c r="J50" i="2"/>
  <c r="J51" i="2" s="1"/>
  <c r="J52" i="2" s="1"/>
  <c r="J93" i="2"/>
  <c r="J92" i="2"/>
  <c r="K61" i="2" s="1"/>
  <c r="K64" i="2" l="1"/>
  <c r="K65" i="2" s="1"/>
  <c r="J26" i="2"/>
  <c r="J30" i="2"/>
  <c r="J33" i="2" s="1"/>
  <c r="J27" i="2"/>
  <c r="J29" i="2"/>
  <c r="J31" i="2"/>
  <c r="J28" i="2"/>
  <c r="J32" i="2"/>
  <c r="J25" i="2"/>
  <c r="J16" i="2"/>
  <c r="K69" i="2"/>
  <c r="K73" i="2"/>
  <c r="K66" i="2"/>
  <c r="K70" i="2"/>
  <c r="K72" i="2"/>
  <c r="K67" i="2"/>
  <c r="K71" i="2"/>
  <c r="K74" i="2" s="1"/>
  <c r="K68" i="2"/>
  <c r="K80" i="2" l="1"/>
  <c r="K81" i="2" s="1"/>
  <c r="J39" i="2"/>
  <c r="J40" i="2" s="1"/>
  <c r="J34" i="2"/>
  <c r="J41" i="2" s="1"/>
  <c r="J42" i="2" s="1"/>
  <c r="K75" i="2"/>
  <c r="K82" i="2" s="1"/>
  <c r="K83" i="2" s="1"/>
  <c r="J43" i="2" l="1"/>
  <c r="J44" i="2" s="1"/>
  <c r="J45" i="2" s="1"/>
  <c r="J53" i="2" s="1"/>
  <c r="J54" i="2" s="1"/>
  <c r="J57" i="2" s="1"/>
  <c r="K84" i="2"/>
  <c r="J55" i="2" l="1"/>
  <c r="J56" i="2"/>
  <c r="K20" i="2" s="1"/>
  <c r="K21" i="2"/>
  <c r="K85" i="2"/>
  <c r="K86" i="2" s="1"/>
  <c r="K90" i="2" s="1"/>
  <c r="K91" i="2" s="1"/>
  <c r="K50" i="2" l="1"/>
  <c r="K51" i="2" s="1"/>
  <c r="K52" i="2" s="1"/>
  <c r="J13" i="2"/>
  <c r="K23" i="2"/>
  <c r="K24" i="2" s="1"/>
  <c r="K93" i="2"/>
  <c r="J17" i="2" s="1"/>
  <c r="K92" i="2"/>
  <c r="K26" i="2" l="1"/>
  <c r="K30" i="2"/>
  <c r="K33" i="2" s="1"/>
  <c r="K27" i="2"/>
  <c r="K31" i="2"/>
  <c r="K29" i="2"/>
  <c r="K28" i="2"/>
  <c r="K32" i="2"/>
  <c r="K25" i="2"/>
  <c r="K39" i="2" l="1"/>
  <c r="K40" i="2" s="1"/>
  <c r="K34" i="2"/>
  <c r="K41" i="2" s="1"/>
  <c r="K42" i="2" s="1"/>
  <c r="K43" i="2" l="1"/>
  <c r="K44" i="2" s="1"/>
  <c r="K45" i="2" s="1"/>
  <c r="K53" i="2" s="1"/>
  <c r="K54" i="2" s="1"/>
  <c r="K55" i="2" s="1"/>
  <c r="K56" i="2" s="1"/>
  <c r="K57" i="2" l="1"/>
  <c r="J14" i="2" s="1"/>
</calcChain>
</file>

<file path=xl/sharedStrings.xml><?xml version="1.0" encoding="utf-8"?>
<sst xmlns="http://schemas.openxmlformats.org/spreadsheetml/2006/main" count="307" uniqueCount="138">
  <si>
    <t>Date</t>
  </si>
  <si>
    <t>By</t>
  </si>
  <si>
    <t>Thermophysical properties of Air</t>
  </si>
  <si>
    <t>T</t>
  </si>
  <si>
    <t>Cp</t>
  </si>
  <si>
    <t>k.10^3</t>
  </si>
  <si>
    <t>Pr</t>
  </si>
  <si>
    <t>K</t>
  </si>
  <si>
    <t>kJ/Kg.K</t>
  </si>
  <si>
    <t>N.s/m2</t>
  </si>
  <si>
    <t>m2/s</t>
  </si>
  <si>
    <t>w/m.K</t>
  </si>
  <si>
    <r>
      <rPr>
        <sz val="11"/>
        <color theme="1"/>
        <rFont val="Calibri"/>
        <family val="2"/>
      </rPr>
      <t>α</t>
    </r>
    <r>
      <rPr>
        <sz val="11"/>
        <color theme="1"/>
        <rFont val="Calibri"/>
        <family val="2"/>
        <scheme val="minor"/>
      </rPr>
      <t>.10^6</t>
    </r>
  </si>
  <si>
    <r>
      <rPr>
        <sz val="11"/>
        <color theme="1"/>
        <rFont val="Calibri"/>
        <family val="2"/>
      </rPr>
      <t>ν</t>
    </r>
    <r>
      <rPr>
        <sz val="11"/>
        <color theme="1"/>
        <rFont val="Calibri"/>
        <family val="2"/>
        <scheme val="minor"/>
      </rPr>
      <t>.10^6</t>
    </r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</si>
  <si>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.10^7</t>
    </r>
  </si>
  <si>
    <t>Source : Fundamentals of Heat and Mass Transfer (2007), Frank P Incropera</t>
  </si>
  <si>
    <t>Calculated Values</t>
  </si>
  <si>
    <t>Literature Values</t>
  </si>
  <si>
    <t>4th Order Polynomial Fitting</t>
  </si>
  <si>
    <t>Specific Heat Curve Fitting</t>
  </si>
  <si>
    <t>Viscosity Curve Fitting</t>
  </si>
  <si>
    <t>Kinematic Viscosity Curve Fitting</t>
  </si>
  <si>
    <t>Thermal Conductivity Curve Fitting</t>
  </si>
  <si>
    <t>Alpha Curve Fitting</t>
  </si>
  <si>
    <t>Prandtl Number Curve Fitting</t>
  </si>
  <si>
    <t>C1.T^4</t>
  </si>
  <si>
    <t>C2.T^3</t>
  </si>
  <si>
    <t>C3.T^2</t>
  </si>
  <si>
    <t>C5</t>
  </si>
  <si>
    <t>C4.T</t>
  </si>
  <si>
    <t>mm</t>
  </si>
  <si>
    <t>Operating Temperature</t>
  </si>
  <si>
    <t>Ambient Temperature</t>
  </si>
  <si>
    <t>Wind Speed</t>
  </si>
  <si>
    <t>m/s</t>
  </si>
  <si>
    <t>Insulation</t>
  </si>
  <si>
    <t>Type</t>
  </si>
  <si>
    <t>Surface Emmisivity</t>
  </si>
  <si>
    <t>Thickness</t>
  </si>
  <si>
    <t>Surface Temperature</t>
  </si>
  <si>
    <t>Interface Temperature</t>
  </si>
  <si>
    <t>Air Properties</t>
  </si>
  <si>
    <t>Average Film Temperature</t>
  </si>
  <si>
    <t>Thermal Conductivity</t>
  </si>
  <si>
    <t>k</t>
  </si>
  <si>
    <t>W/m.K</t>
  </si>
  <si>
    <t>Viscosity</t>
  </si>
  <si>
    <t>µ</t>
  </si>
  <si>
    <t>Prandtl Number</t>
  </si>
  <si>
    <t>Expansion Coefficient</t>
  </si>
  <si>
    <t>β</t>
  </si>
  <si>
    <t>1/K</t>
  </si>
  <si>
    <t>Air Density</t>
  </si>
  <si>
    <t>ρ</t>
  </si>
  <si>
    <t>Kg/m3</t>
  </si>
  <si>
    <t>Kinematic Viscosity</t>
  </si>
  <si>
    <t>ν</t>
  </si>
  <si>
    <t>Specific Heat</t>
  </si>
  <si>
    <t>Radiation</t>
  </si>
  <si>
    <t>Convection</t>
  </si>
  <si>
    <t>Forced Convection</t>
  </si>
  <si>
    <t>Nu_forced</t>
  </si>
  <si>
    <t>Reynold's Number</t>
  </si>
  <si>
    <t>Re</t>
  </si>
  <si>
    <t>Outside Diameter</t>
  </si>
  <si>
    <t>h_forced</t>
  </si>
  <si>
    <t>Free Convection</t>
  </si>
  <si>
    <t>alpha</t>
  </si>
  <si>
    <t>α</t>
  </si>
  <si>
    <t>Ra</t>
  </si>
  <si>
    <t>Nu_free</t>
  </si>
  <si>
    <t>h_free</t>
  </si>
  <si>
    <t>Combined Convection</t>
  </si>
  <si>
    <t>Nu_Combined</t>
  </si>
  <si>
    <t>h_convection</t>
  </si>
  <si>
    <t>Overall air side HTC</t>
  </si>
  <si>
    <t>h_air</t>
  </si>
  <si>
    <t>Heat Flow</t>
  </si>
  <si>
    <t>Q</t>
  </si>
  <si>
    <t>Thermal Conductivity of Plain Carbon Steel</t>
  </si>
  <si>
    <t>3rd Order Polynomial Curve Fitting</t>
  </si>
  <si>
    <t>C1.T^3</t>
  </si>
  <si>
    <t>C2.T^2</t>
  </si>
  <si>
    <t>C3.T</t>
  </si>
  <si>
    <t>C4</t>
  </si>
  <si>
    <t>Thermal Conductivity of Calcium Silicate</t>
  </si>
  <si>
    <t>4th Order Polynomial Curve Fitting</t>
  </si>
  <si>
    <t>K Calculated</t>
  </si>
  <si>
    <t>Pipe Resistance</t>
  </si>
  <si>
    <t>Pipe Thermal conductivity</t>
  </si>
  <si>
    <t>k_pipe</t>
  </si>
  <si>
    <t>Pipe wall resistance</t>
  </si>
  <si>
    <t>r_pipe</t>
  </si>
  <si>
    <t>Insulation Resistance</t>
  </si>
  <si>
    <t>Insulation Thermal conductivity</t>
  </si>
  <si>
    <t>k_insulation</t>
  </si>
  <si>
    <t>Average Insulation temperature</t>
  </si>
  <si>
    <t>Insulation resistance</t>
  </si>
  <si>
    <t>r_insulation</t>
  </si>
  <si>
    <t>Overall Resistance</t>
  </si>
  <si>
    <t>r_overall</t>
  </si>
  <si>
    <t>T_interface</t>
  </si>
  <si>
    <t>T_surface</t>
  </si>
  <si>
    <t>Surface Temeperature</t>
  </si>
  <si>
    <t>Iterations</t>
  </si>
  <si>
    <t>Calcium Silicate</t>
  </si>
  <si>
    <t>Bare Pipe Emissivity</t>
  </si>
  <si>
    <t>Heat Loss</t>
  </si>
  <si>
    <t>W/m</t>
  </si>
  <si>
    <t>Heat Loss per Unit Length</t>
  </si>
  <si>
    <t>Bare Pipe</t>
  </si>
  <si>
    <t>Insulated Pipe</t>
  </si>
  <si>
    <t>Rayleigh Number</t>
  </si>
  <si>
    <t>Heat Loss From An Insulated Pipe</t>
  </si>
  <si>
    <t>Calculation for Insulated Pipe</t>
  </si>
  <si>
    <t>Calculation for Bare Pipe</t>
  </si>
  <si>
    <t>Air Film Resistance</t>
  </si>
  <si>
    <t>h_radiation</t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</si>
  <si>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</si>
  <si>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°K</t>
  </si>
  <si>
    <r>
      <t>N/s.m</t>
    </r>
    <r>
      <rPr>
        <sz val="11"/>
        <color theme="1"/>
        <rFont val="Calibri"/>
        <family val="2"/>
      </rPr>
      <t>²</t>
    </r>
  </si>
  <si>
    <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/s</t>
    </r>
  </si>
  <si>
    <r>
      <t>Kg/m</t>
    </r>
    <r>
      <rPr>
        <sz val="11"/>
        <color theme="1"/>
        <rFont val="Calibri"/>
        <family val="2"/>
      </rPr>
      <t>³</t>
    </r>
  </si>
  <si>
    <r>
      <t>W/m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.K</t>
    </r>
  </si>
  <si>
    <r>
      <t>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.K/W</t>
    </r>
  </si>
  <si>
    <r>
      <t>W/m</t>
    </r>
    <r>
      <rPr>
        <sz val="11"/>
        <color theme="1"/>
        <rFont val="Calibri"/>
        <family val="2"/>
      </rPr>
      <t>²</t>
    </r>
  </si>
  <si>
    <t>Pipe</t>
  </si>
  <si>
    <t>D3</t>
  </si>
  <si>
    <t>Inside Diameter (D1)</t>
  </si>
  <si>
    <t>Outside Diameter (D2)</t>
  </si>
  <si>
    <t>t_average</t>
  </si>
  <si>
    <t>t_surface</t>
  </si>
  <si>
    <t>t_interface</t>
  </si>
  <si>
    <t>CheGuide.com</t>
  </si>
  <si>
    <t>Chemical Engineer's Guide</t>
  </si>
  <si>
    <t>19-Dec-15</t>
  </si>
  <si>
    <t>CheGuide</t>
  </si>
  <si>
    <t>9-July-16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</si>
</sst>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"/>
    <numFmt numFmtId="165" formatCode="[$-14009]dd/mm/yy;@"/>
    <numFmt numFmtId="166" formatCode="0.000E+00"/>
    <numFmt numFmtId="167" formatCode="0.0"/>
    <numFmt numFmtId="168" formatCode="0.0000"/>
    <numFmt numFmtId="169" formatCode="0.00000"/>
    <numFmt numFmtId="170" formatCode="0.000000"/>
    <numFmt numFmtId="171" formatCode="0.0000000"/>
    <numFmt numFmtId="172" formatCode="0.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9"/>
      <color rgb="FF1C00CF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Fill="1"/>
    <xf numFmtId="0" fontId="7" fillId="0" borderId="0" xfId="0" applyFont="1"/>
    <xf numFmtId="166" fontId="0" fillId="0" borderId="0" xfId="0" applyNumberFormat="1"/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8" fontId="0" fillId="0" borderId="0" xfId="0" applyNumberFormat="1"/>
    <xf numFmtId="0" fontId="6" fillId="0" borderId="0" xfId="0" applyFont="1"/>
    <xf numFmtId="11" fontId="0" fillId="0" borderId="0" xfId="0" applyNumberFormat="1"/>
    <xf numFmtId="169" fontId="0" fillId="0" borderId="0" xfId="0" applyNumberFormat="1"/>
    <xf numFmtId="0" fontId="0" fillId="0" borderId="0" xfId="0" applyFont="1" applyAlignment="1">
      <alignment horizontal="right"/>
    </xf>
    <xf numFmtId="1" fontId="0" fillId="0" borderId="0" xfId="0" applyNumberFormat="1"/>
    <xf numFmtId="0" fontId="1" fillId="0" borderId="0" xfId="0" applyFont="1" applyAlignment="1"/>
    <xf numFmtId="0" fontId="0" fillId="0" borderId="0" xfId="0" applyAlignment="1"/>
    <xf numFmtId="164" fontId="2" fillId="0" borderId="0" xfId="0" applyNumberFormat="1" applyFont="1" applyAlignment="1" applyProtection="1">
      <alignment vertical="center"/>
    </xf>
    <xf numFmtId="167" fontId="0" fillId="0" borderId="0" xfId="0" applyNumberFormat="1" applyAlignment="1"/>
    <xf numFmtId="11" fontId="0" fillId="0" borderId="0" xfId="0" applyNumberFormat="1" applyAlignment="1"/>
    <xf numFmtId="2" fontId="0" fillId="0" borderId="0" xfId="0" applyNumberFormat="1" applyAlignment="1"/>
    <xf numFmtId="0" fontId="7" fillId="0" borderId="0" xfId="0" applyFont="1" applyAlignment="1"/>
    <xf numFmtId="168" fontId="0" fillId="0" borderId="0" xfId="0" applyNumberFormat="1" applyAlignment="1"/>
    <xf numFmtId="164" fontId="0" fillId="0" borderId="0" xfId="0" applyNumberFormat="1" applyAlignment="1"/>
    <xf numFmtId="0" fontId="0" fillId="0" borderId="0" xfId="0" applyFon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0" fontId="8" fillId="0" borderId="0" xfId="0" applyNumberFormat="1" applyFont="1"/>
    <xf numFmtId="167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164" fontId="3" fillId="0" borderId="0" xfId="1" applyNumberFormat="1" applyProtection="1"/>
    <xf numFmtId="164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98914</xdr:rowOff>
    </xdr:from>
    <xdr:to>
      <xdr:col>11</xdr:col>
      <xdr:colOff>33701</xdr:colOff>
      <xdr:row>10</xdr:row>
      <xdr:rowOff>34437</xdr:rowOff>
    </xdr:to>
    <xdr:grpSp>
      <xdr:nvGrpSpPr>
        <xdr:cNvPr id="39" name="Group 38"/>
        <xdr:cNvGrpSpPr/>
      </xdr:nvGrpSpPr>
      <xdr:grpSpPr>
        <a:xfrm>
          <a:off x="3800475" y="908539"/>
          <a:ext cx="3015026" cy="1078523"/>
          <a:chOff x="3971925" y="889489"/>
          <a:chExt cx="3015026" cy="1078523"/>
        </a:xfrm>
      </xdr:grpSpPr>
      <xdr:cxnSp macro="">
        <xdr:nvCxnSpPr>
          <xdr:cNvPr id="23" name="Straight Connector 22"/>
          <xdr:cNvCxnSpPr/>
        </xdr:nvCxnSpPr>
        <xdr:spPr>
          <a:xfrm flipH="1">
            <a:off x="5297370" y="1967278"/>
            <a:ext cx="149175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/>
          <xdr:cNvCxnSpPr/>
        </xdr:nvCxnSpPr>
        <xdr:spPr>
          <a:xfrm flipH="1">
            <a:off x="5282716" y="992797"/>
            <a:ext cx="14902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oup 5"/>
          <xdr:cNvGrpSpPr/>
        </xdr:nvGrpSpPr>
        <xdr:grpSpPr>
          <a:xfrm>
            <a:off x="4829174" y="990600"/>
            <a:ext cx="1000125" cy="971550"/>
            <a:chOff x="4829174" y="990600"/>
            <a:chExt cx="1000125" cy="971550"/>
          </a:xfrm>
        </xdr:grpSpPr>
        <xdr:sp macro="" textlink="">
          <xdr:nvSpPr>
            <xdr:cNvPr id="4" name="Oval 3"/>
            <xdr:cNvSpPr/>
          </xdr:nvSpPr>
          <xdr:spPr>
            <a:xfrm>
              <a:off x="4829174" y="990600"/>
              <a:ext cx="1000125" cy="971550"/>
            </a:xfrm>
            <a:prstGeom prst="ellipse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3" name="Oval 2"/>
            <xdr:cNvSpPr/>
          </xdr:nvSpPr>
          <xdr:spPr>
            <a:xfrm>
              <a:off x="5038725" y="1209677"/>
              <a:ext cx="571500" cy="523873"/>
            </a:xfrm>
            <a:prstGeom prst="ellipse">
              <a:avLst/>
            </a:prstGeom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  <xdr:sp macro="" textlink="">
          <xdr:nvSpPr>
            <xdr:cNvPr id="2" name="Oval 1"/>
            <xdr:cNvSpPr/>
          </xdr:nvSpPr>
          <xdr:spPr>
            <a:xfrm>
              <a:off x="5085626" y="1255899"/>
              <a:ext cx="487456" cy="440719"/>
            </a:xfrm>
            <a:prstGeom prst="ellipse">
              <a:avLst/>
            </a:prstGeom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IN" sz="1100"/>
            </a:p>
          </xdr:txBody>
        </xdr:sp>
      </xdr:grpSp>
      <xdr:cxnSp macro="">
        <xdr:nvCxnSpPr>
          <xdr:cNvPr id="8" name="Straight Connector 7"/>
          <xdr:cNvCxnSpPr/>
        </xdr:nvCxnSpPr>
        <xdr:spPr>
          <a:xfrm flipH="1">
            <a:off x="5334002" y="1249241"/>
            <a:ext cx="73415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/>
        </xdr:nvCxnSpPr>
        <xdr:spPr>
          <a:xfrm flipH="1">
            <a:off x="5326676" y="1696183"/>
            <a:ext cx="77811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/>
          <xdr:cNvCxnSpPr/>
        </xdr:nvCxnSpPr>
        <xdr:spPr>
          <a:xfrm>
            <a:off x="5921619" y="1249241"/>
            <a:ext cx="0" cy="44694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5326677" y="1732817"/>
            <a:ext cx="1014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>
            <a:off x="5319350" y="1212605"/>
            <a:ext cx="101404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/>
          <xdr:cNvCxnSpPr/>
        </xdr:nvCxnSpPr>
        <xdr:spPr>
          <a:xfrm>
            <a:off x="6245469" y="1205280"/>
            <a:ext cx="0" cy="534865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/>
          <xdr:cNvCxnSpPr/>
        </xdr:nvCxnSpPr>
        <xdr:spPr>
          <a:xfrm>
            <a:off x="6582508" y="992800"/>
            <a:ext cx="0" cy="974479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/>
          <xdr:cNvSpPr txBox="1"/>
        </xdr:nvSpPr>
        <xdr:spPr>
          <a:xfrm>
            <a:off x="5863003" y="1337164"/>
            <a:ext cx="404446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D1</a:t>
            </a:r>
          </a:p>
        </xdr:txBody>
      </xdr:sp>
      <xdr:sp macro="" textlink="">
        <xdr:nvSpPr>
          <xdr:cNvPr id="27" name="TextBox 26"/>
          <xdr:cNvSpPr txBox="1"/>
        </xdr:nvSpPr>
        <xdr:spPr>
          <a:xfrm>
            <a:off x="6194179" y="1337164"/>
            <a:ext cx="402980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D2</a:t>
            </a:r>
          </a:p>
        </xdr:txBody>
      </xdr:sp>
      <xdr:sp macro="" textlink="">
        <xdr:nvSpPr>
          <xdr:cNvPr id="28" name="TextBox 27"/>
          <xdr:cNvSpPr txBox="1"/>
        </xdr:nvSpPr>
        <xdr:spPr>
          <a:xfrm>
            <a:off x="6582506" y="1337164"/>
            <a:ext cx="40444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D3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4201256" y="1060939"/>
            <a:ext cx="40444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Air</a:t>
            </a:r>
          </a:p>
        </xdr:txBody>
      </xdr:sp>
      <xdr:sp macro="" textlink="">
        <xdr:nvSpPr>
          <xdr:cNvPr id="30" name="TextBox 29"/>
          <xdr:cNvSpPr txBox="1"/>
        </xdr:nvSpPr>
        <xdr:spPr>
          <a:xfrm>
            <a:off x="3971925" y="1375264"/>
            <a:ext cx="103822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Insulation</a:t>
            </a:r>
          </a:p>
        </xdr:txBody>
      </xdr:sp>
      <xdr:cxnSp macro="">
        <xdr:nvCxnSpPr>
          <xdr:cNvPr id="32" name="Straight Arrow Connector 31"/>
          <xdr:cNvCxnSpPr/>
        </xdr:nvCxnSpPr>
        <xdr:spPr>
          <a:xfrm>
            <a:off x="4686300" y="1524000"/>
            <a:ext cx="257175" cy="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/>
          <xdr:cNvCxnSpPr/>
        </xdr:nvCxnSpPr>
        <xdr:spPr>
          <a:xfrm flipV="1">
            <a:off x="4733925" y="1657350"/>
            <a:ext cx="428625" cy="15240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TextBox 34"/>
          <xdr:cNvSpPr txBox="1"/>
        </xdr:nvSpPr>
        <xdr:spPr>
          <a:xfrm>
            <a:off x="4305301" y="1689589"/>
            <a:ext cx="647700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4562475" y="889489"/>
            <a:ext cx="1038225" cy="278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Fluid</a:t>
            </a:r>
          </a:p>
        </xdr:txBody>
      </xdr:sp>
      <xdr:cxnSp macro="">
        <xdr:nvCxnSpPr>
          <xdr:cNvPr id="37" name="Straight Arrow Connector 36"/>
          <xdr:cNvCxnSpPr/>
        </xdr:nvCxnSpPr>
        <xdr:spPr>
          <a:xfrm>
            <a:off x="4791075" y="1123950"/>
            <a:ext cx="552450" cy="38100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Normal="100" zoomScaleSheetLayoutView="100" workbookViewId="0"/>
  </sheetViews>
  <sheetFormatPr defaultRowHeight="15" x14ac:dyDescent="0.25"/>
  <cols>
    <col min="1" max="1" width="4.140625" style="21" customWidth="1"/>
    <col min="3" max="3" width="10.5703125" customWidth="1"/>
    <col min="5" max="5" width="13.85546875" bestFit="1" customWidth="1"/>
    <col min="13" max="13" width="9.5703125" bestFit="1" customWidth="1"/>
    <col min="14" max="14" width="11.7109375" bestFit="1" customWidth="1"/>
    <col min="15" max="15" width="11.5703125" customWidth="1"/>
    <col min="16" max="16" width="10.85546875" customWidth="1"/>
    <col min="17" max="17" width="10.7109375" customWidth="1"/>
    <col min="18" max="18" width="11.5703125" customWidth="1"/>
  </cols>
  <sheetData>
    <row r="1" spans="1:16" x14ac:dyDescent="0.25">
      <c r="A1" s="1"/>
      <c r="B1" s="2"/>
      <c r="C1" s="2"/>
      <c r="D1" s="2"/>
      <c r="E1" s="2"/>
      <c r="F1" s="2"/>
      <c r="G1" s="2"/>
      <c r="H1" s="2"/>
      <c r="I1" s="3"/>
    </row>
    <row r="2" spans="1:16" ht="18.75" x14ac:dyDescent="0.25">
      <c r="A2" s="4"/>
      <c r="B2" s="49" t="s">
        <v>113</v>
      </c>
      <c r="C2" s="49"/>
      <c r="D2" s="49"/>
      <c r="E2" s="49"/>
      <c r="F2" s="49"/>
      <c r="G2" s="49"/>
      <c r="H2" s="49"/>
      <c r="I2" s="49"/>
      <c r="J2" s="49"/>
      <c r="K2" s="33"/>
      <c r="L2" s="33"/>
    </row>
    <row r="3" spans="1:16" x14ac:dyDescent="0.25">
      <c r="A3" s="5"/>
      <c r="B3" s="48" t="s">
        <v>133</v>
      </c>
      <c r="C3" s="6"/>
      <c r="D3" s="6"/>
      <c r="E3" s="6"/>
      <c r="F3" s="6"/>
      <c r="I3" s="7" t="s">
        <v>0</v>
      </c>
      <c r="J3" s="8" t="s">
        <v>137</v>
      </c>
      <c r="K3" s="9"/>
    </row>
    <row r="4" spans="1:16" x14ac:dyDescent="0.25">
      <c r="A4" s="5"/>
      <c r="B4" s="10" t="s">
        <v>134</v>
      </c>
      <c r="C4" s="6"/>
      <c r="D4" s="6"/>
      <c r="E4" s="6"/>
      <c r="F4" s="6"/>
      <c r="I4" s="7" t="s">
        <v>1</v>
      </c>
      <c r="J4" s="11" t="s">
        <v>136</v>
      </c>
      <c r="K4" s="11"/>
    </row>
    <row r="6" spans="1:16" x14ac:dyDescent="0.25">
      <c r="B6" t="s">
        <v>126</v>
      </c>
      <c r="C6" t="s">
        <v>128</v>
      </c>
      <c r="E6" s="45">
        <f>3.068*25.4</f>
        <v>77.927199999999999</v>
      </c>
      <c r="F6" t="s">
        <v>30</v>
      </c>
    </row>
    <row r="7" spans="1:16" x14ac:dyDescent="0.25">
      <c r="C7" t="s">
        <v>129</v>
      </c>
      <c r="E7" s="46">
        <f>3.5*25.4</f>
        <v>88.899999999999991</v>
      </c>
      <c r="F7" t="s">
        <v>30</v>
      </c>
    </row>
    <row r="8" spans="1:16" x14ac:dyDescent="0.25">
      <c r="B8" t="s">
        <v>31</v>
      </c>
      <c r="E8" s="45">
        <v>180</v>
      </c>
      <c r="F8" t="s">
        <v>118</v>
      </c>
      <c r="N8" s="20"/>
    </row>
    <row r="9" spans="1:16" x14ac:dyDescent="0.25">
      <c r="B9" t="s">
        <v>32</v>
      </c>
      <c r="E9" s="45">
        <v>28</v>
      </c>
      <c r="F9" t="s">
        <v>118</v>
      </c>
    </row>
    <row r="10" spans="1:16" x14ac:dyDescent="0.25">
      <c r="B10" t="s">
        <v>33</v>
      </c>
      <c r="E10" s="47">
        <v>3.5</v>
      </c>
      <c r="F10" t="s">
        <v>34</v>
      </c>
      <c r="N10" s="12"/>
    </row>
    <row r="12" spans="1:16" x14ac:dyDescent="0.25">
      <c r="B12" t="s">
        <v>35</v>
      </c>
      <c r="G12" s="18" t="s">
        <v>111</v>
      </c>
      <c r="N12" s="44"/>
      <c r="O12" s="41"/>
      <c r="P12" s="41"/>
    </row>
    <row r="13" spans="1:16" x14ac:dyDescent="0.25">
      <c r="B13" t="s">
        <v>36</v>
      </c>
      <c r="E13" t="s">
        <v>105</v>
      </c>
      <c r="G13" t="s">
        <v>39</v>
      </c>
      <c r="J13" s="20">
        <f>K20</f>
        <v>33.428530101007539</v>
      </c>
      <c r="K13" t="s">
        <v>118</v>
      </c>
      <c r="M13" s="2"/>
    </row>
    <row r="14" spans="1:16" x14ac:dyDescent="0.25">
      <c r="B14" t="s">
        <v>37</v>
      </c>
      <c r="E14" s="46">
        <v>0.9</v>
      </c>
      <c r="G14" t="s">
        <v>107</v>
      </c>
      <c r="J14" s="20">
        <f>K57</f>
        <v>73.12000894228413</v>
      </c>
      <c r="K14" t="s">
        <v>108</v>
      </c>
      <c r="M14" s="12"/>
    </row>
    <row r="15" spans="1:16" x14ac:dyDescent="0.25">
      <c r="B15" t="s">
        <v>38</v>
      </c>
      <c r="E15" s="46">
        <v>50</v>
      </c>
      <c r="F15" t="s">
        <v>30</v>
      </c>
      <c r="G15" s="18" t="s">
        <v>110</v>
      </c>
      <c r="J15" s="20"/>
      <c r="M15" s="12"/>
      <c r="N15" s="12"/>
    </row>
    <row r="16" spans="1:16" x14ac:dyDescent="0.25">
      <c r="B16" t="s">
        <v>64</v>
      </c>
      <c r="D16" t="s">
        <v>127</v>
      </c>
      <c r="E16">
        <f>E7+E15*2</f>
        <v>188.89999999999998</v>
      </c>
      <c r="F16" t="s">
        <v>30</v>
      </c>
      <c r="G16" t="s">
        <v>39</v>
      </c>
      <c r="J16" s="20">
        <f>K61</f>
        <v>179.48598598403862</v>
      </c>
      <c r="K16" t="s">
        <v>118</v>
      </c>
      <c r="M16" s="12"/>
      <c r="N16" s="2"/>
    </row>
    <row r="17" spans="1:18" x14ac:dyDescent="0.25">
      <c r="G17" t="s">
        <v>107</v>
      </c>
      <c r="J17" s="20">
        <f>K93</f>
        <v>1374.001191783786</v>
      </c>
      <c r="K17" t="s">
        <v>108</v>
      </c>
    </row>
    <row r="18" spans="1:18" x14ac:dyDescent="0.25">
      <c r="A18" s="22"/>
      <c r="B18" s="18" t="s">
        <v>114</v>
      </c>
    </row>
    <row r="19" spans="1:18" x14ac:dyDescent="0.25">
      <c r="E19" t="s">
        <v>104</v>
      </c>
      <c r="G19">
        <v>1</v>
      </c>
      <c r="H19">
        <v>2</v>
      </c>
      <c r="I19">
        <v>3</v>
      </c>
      <c r="J19">
        <v>4</v>
      </c>
      <c r="K19">
        <v>5</v>
      </c>
    </row>
    <row r="20" spans="1:18" x14ac:dyDescent="0.25">
      <c r="B20" t="s">
        <v>39</v>
      </c>
      <c r="E20" t="s">
        <v>131</v>
      </c>
      <c r="F20" t="s">
        <v>118</v>
      </c>
      <c r="G20">
        <f>E9+1</f>
        <v>29</v>
      </c>
      <c r="H20" s="12">
        <f>G56</f>
        <v>33.432465780858365</v>
      </c>
      <c r="I20" s="12">
        <f t="shared" ref="I20:K20" si="0">H56</f>
        <v>33.428523663258346</v>
      </c>
      <c r="J20" s="12">
        <f t="shared" si="0"/>
        <v>33.428530111865882</v>
      </c>
      <c r="K20" s="12">
        <f t="shared" si="0"/>
        <v>33.428530101007539</v>
      </c>
      <c r="L20" s="12"/>
      <c r="M20" s="12"/>
      <c r="O20" s="12"/>
      <c r="P20" s="12"/>
      <c r="Q20" s="12"/>
      <c r="R20" s="12"/>
    </row>
    <row r="21" spans="1:18" x14ac:dyDescent="0.25">
      <c r="B21" t="s">
        <v>40</v>
      </c>
      <c r="E21" t="s">
        <v>132</v>
      </c>
      <c r="F21" t="s">
        <v>118</v>
      </c>
      <c r="G21" s="20">
        <f>E8-1</f>
        <v>179</v>
      </c>
      <c r="H21" s="12">
        <f>G55</f>
        <v>179.97274570242683</v>
      </c>
      <c r="I21" s="12">
        <f t="shared" ref="I21:K21" si="1">H55</f>
        <v>179.97264571990215</v>
      </c>
      <c r="J21" s="12">
        <f t="shared" si="1"/>
        <v>179.97264579572493</v>
      </c>
      <c r="K21" s="12">
        <f t="shared" si="1"/>
        <v>179.97264579560246</v>
      </c>
      <c r="L21" s="12"/>
      <c r="M21" s="20"/>
      <c r="N21" s="20"/>
      <c r="O21" s="12"/>
      <c r="P21" s="12"/>
      <c r="Q21" s="12"/>
      <c r="R21" s="12"/>
    </row>
    <row r="22" spans="1:18" x14ac:dyDescent="0.25">
      <c r="B22" s="24" t="s">
        <v>41</v>
      </c>
    </row>
    <row r="23" spans="1:18" x14ac:dyDescent="0.25">
      <c r="B23" t="s">
        <v>42</v>
      </c>
      <c r="E23" t="s">
        <v>130</v>
      </c>
      <c r="F23" t="s">
        <v>118</v>
      </c>
      <c r="G23">
        <f>(G20+$E$9)/2</f>
        <v>28.5</v>
      </c>
      <c r="H23" s="12">
        <f t="shared" ref="H23:K23" si="2">(H20+$E$9)/2</f>
        <v>30.716232890429183</v>
      </c>
      <c r="I23" s="12">
        <f t="shared" si="2"/>
        <v>30.714261831629173</v>
      </c>
      <c r="J23" s="12">
        <f t="shared" si="2"/>
        <v>30.714265055932941</v>
      </c>
      <c r="K23" s="12">
        <f t="shared" si="2"/>
        <v>30.714265050503769</v>
      </c>
      <c r="L23" s="20"/>
      <c r="M23" s="20"/>
      <c r="N23" s="2"/>
      <c r="O23" s="2"/>
      <c r="P23" s="2"/>
      <c r="Q23" s="2"/>
      <c r="R23" s="2"/>
    </row>
    <row r="24" spans="1:18" x14ac:dyDescent="0.25">
      <c r="F24" s="26" t="s">
        <v>119</v>
      </c>
      <c r="G24">
        <f>G23+273.15</f>
        <v>301.64999999999998</v>
      </c>
      <c r="H24" s="12">
        <f t="shared" ref="H24:K24" si="3">H23+273.15</f>
        <v>303.86623289042916</v>
      </c>
      <c r="I24" s="12">
        <f t="shared" si="3"/>
        <v>303.86426183162916</v>
      </c>
      <c r="J24" s="12">
        <f t="shared" si="3"/>
        <v>303.86426505593295</v>
      </c>
      <c r="K24" s="12">
        <f t="shared" si="3"/>
        <v>303.86426505050372</v>
      </c>
      <c r="L24" s="12"/>
      <c r="M24" s="12"/>
      <c r="N24" s="12"/>
      <c r="O24" s="12"/>
      <c r="P24" s="12"/>
      <c r="Q24" s="12"/>
      <c r="R24" s="12"/>
    </row>
    <row r="25" spans="1:18" x14ac:dyDescent="0.25">
      <c r="B25" t="s">
        <v>43</v>
      </c>
      <c r="E25" t="s">
        <v>44</v>
      </c>
      <c r="F25" t="s">
        <v>45</v>
      </c>
      <c r="G25" s="25">
        <f>(Air_Properties!$Q$22*G24^4+Air_Properties!$R$22*G24^3+Air_Properties!$S$22*G24^2+Air_Properties!$T$22*G24+Air_Properties!$U$22)/10^3</f>
        <v>2.6386853001427891E-2</v>
      </c>
      <c r="H25" s="25">
        <f>(Air_Properties!$Q$22*H24^4+Air_Properties!$R$22*H24^3+Air_Properties!$S$22*H24^2+Air_Properties!$T$22*H24+Air_Properties!$U$22)/10^3</f>
        <v>2.6561790524246828E-2</v>
      </c>
      <c r="I25" s="25">
        <f>(Air_Properties!$Q$22*I24^4+Air_Properties!$R$22*I24^3+Air_Properties!$S$22*I24^2+Air_Properties!$T$22*I24+Air_Properties!$U$22)/10^3</f>
        <v>2.6561635077377452E-2</v>
      </c>
      <c r="J25" s="25">
        <f>(Air_Properties!$Q$22*J24^4+Air_Properties!$R$22*J24^3+Air_Properties!$S$22*J24^2+Air_Properties!$T$22*J24+Air_Properties!$U$22)/10^3</f>
        <v>2.6561635331661254E-2</v>
      </c>
      <c r="K25" s="25">
        <f>(Air_Properties!$Q$22*K24^4+Air_Properties!$R$22*K24^3+Air_Properties!$S$22*K24^2+Air_Properties!$T$22*K24+Air_Properties!$U$22)/10^3</f>
        <v>2.6561635331233076E-2</v>
      </c>
      <c r="L25" s="25"/>
      <c r="M25" s="25"/>
      <c r="N25" s="28"/>
      <c r="O25" s="28"/>
      <c r="P25" s="28"/>
      <c r="Q25" s="28"/>
      <c r="R25" s="28"/>
    </row>
    <row r="26" spans="1:18" x14ac:dyDescent="0.25">
      <c r="B26" t="s">
        <v>46</v>
      </c>
      <c r="E26" s="26" t="s">
        <v>47</v>
      </c>
      <c r="F26" t="s">
        <v>120</v>
      </c>
      <c r="G26" s="27">
        <f>(Air_Properties!$Q$10*G24^4+Air_Properties!$R$10*G24^3+Air_Properties!$S$10*G24^2+Air_Properties!$T$10*G24+Air_Properties!$U$10)/10^7</f>
        <v>1.8560422033258572E-5</v>
      </c>
      <c r="H26" s="27">
        <f>(Air_Properties!$Q$10*H24^4+Air_Properties!$R$10*H24^3+Air_Properties!$S$10*H24^2+Air_Properties!$T$10*H24+Air_Properties!$U$10)/10^7</f>
        <v>1.8667271666239999E-5</v>
      </c>
      <c r="I26" s="27">
        <f>(Air_Properties!$Q$10*I24^4+Air_Properties!$R$10*I24^3+Air_Properties!$S$10*I24^2+Air_Properties!$T$10*I24+Air_Properties!$U$10)/10^7</f>
        <v>1.8667176788386525E-5</v>
      </c>
      <c r="J26" s="27">
        <f>(Air_Properties!$Q$10*J24^4+Air_Properties!$R$10*J24^3+Air_Properties!$S$10*J24^2+Air_Properties!$T$10*J24+Air_Properties!$U$10)/10^7</f>
        <v>1.8667176943590137E-5</v>
      </c>
      <c r="K26" s="27">
        <f>(Air_Properties!$Q$10*K24^4+Air_Properties!$R$10*K24^3+Air_Properties!$S$10*K24^2+Air_Properties!$T$10*K24+Air_Properties!$U$10)/10^7</f>
        <v>1.86671769433288E-5</v>
      </c>
      <c r="L26" s="27"/>
      <c r="M26" s="28"/>
      <c r="N26" s="42"/>
      <c r="O26" s="42"/>
      <c r="P26" s="42"/>
      <c r="Q26" s="42"/>
      <c r="R26" s="42"/>
    </row>
    <row r="27" spans="1:18" x14ac:dyDescent="0.25">
      <c r="B27" t="s">
        <v>48</v>
      </c>
      <c r="E27" t="s">
        <v>6</v>
      </c>
      <c r="G27" s="2">
        <f>Air_Properties!$Q$34*G24^4+Air_Properties!$R$34*G24^3+Air_Properties!$S$34*G24^2+Air_Properties!$T$34*G24+Air_Properties!$U$34</f>
        <v>0.70690426091070679</v>
      </c>
      <c r="H27" s="2">
        <f>Air_Properties!$Q$34*H24^4+Air_Properties!$R$34*H24^3+Air_Properties!$S$34*H24^2+Air_Properties!$T$34*H24+Air_Properties!$U$34</f>
        <v>0.70637745219213177</v>
      </c>
      <c r="I27" s="2">
        <f>Air_Properties!$Q$34*I24^4+Air_Properties!$R$34*I24^3+Air_Properties!$S$34*I24^2+Air_Properties!$T$34*I24+Air_Properties!$U$34</f>
        <v>0.70637791779768744</v>
      </c>
      <c r="J27" s="2">
        <f>Air_Properties!$Q$34*J24^4+Air_Properties!$R$34*J24^3+Air_Properties!$S$34*J24^2+Air_Properties!$T$34*J24+Air_Properties!$U$34</f>
        <v>0.7063779170360347</v>
      </c>
      <c r="K27" s="2">
        <f>Air_Properties!$Q$34*K24^4+Air_Properties!$R$34*K24^3+Air_Properties!$S$34*K24^2+Air_Properties!$T$34*K24+Air_Properties!$U$34</f>
        <v>0.70637791703731723</v>
      </c>
      <c r="L27" s="2"/>
      <c r="M27" s="2"/>
      <c r="N27" s="2"/>
      <c r="O27" s="2"/>
      <c r="P27" s="2"/>
      <c r="Q27" s="2"/>
      <c r="R27" s="2"/>
    </row>
    <row r="28" spans="1:18" x14ac:dyDescent="0.25">
      <c r="B28" t="s">
        <v>49</v>
      </c>
      <c r="E28" s="26" t="s">
        <v>50</v>
      </c>
      <c r="F28" t="s">
        <v>51</v>
      </c>
      <c r="G28">
        <f>1/G24</f>
        <v>3.3151002817835241E-3</v>
      </c>
      <c r="H28">
        <f t="shared" ref="H28:K28" si="4">1/H24</f>
        <v>3.2909217667518491E-3</v>
      </c>
      <c r="I28">
        <f t="shared" si="4"/>
        <v>3.2909431137844664E-3</v>
      </c>
      <c r="J28">
        <f t="shared" si="4"/>
        <v>3.2909430788642681E-3</v>
      </c>
      <c r="K28">
        <f t="shared" si="4"/>
        <v>3.2909430789230683E-3</v>
      </c>
      <c r="L28" s="28"/>
      <c r="M28" s="41"/>
      <c r="N28" s="42"/>
      <c r="O28" s="42"/>
      <c r="P28" s="42"/>
      <c r="Q28" s="42"/>
      <c r="R28" s="42"/>
    </row>
    <row r="29" spans="1:18" x14ac:dyDescent="0.25">
      <c r="B29" t="s">
        <v>52</v>
      </c>
      <c r="E29" s="26" t="s">
        <v>53</v>
      </c>
      <c r="F29" t="s">
        <v>122</v>
      </c>
      <c r="G29" s="25">
        <f>29/0.0820575/G24</f>
        <v>1.1715919711388012</v>
      </c>
      <c r="H29" s="25">
        <f t="shared" ref="H29:K29" si="5">29/0.0820575/H24</f>
        <v>1.1630470247790099</v>
      </c>
      <c r="I29" s="25">
        <f t="shared" si="5"/>
        <v>1.1630545690491363</v>
      </c>
      <c r="J29" s="25">
        <f t="shared" si="5"/>
        <v>1.163054556707964</v>
      </c>
      <c r="K29" s="25">
        <f t="shared" si="5"/>
        <v>1.1630545567287447</v>
      </c>
      <c r="L29" s="25"/>
      <c r="M29" s="28"/>
      <c r="N29" s="42"/>
      <c r="O29" s="42"/>
      <c r="P29" s="42"/>
      <c r="Q29" s="42"/>
      <c r="R29" s="42"/>
    </row>
    <row r="30" spans="1:18" x14ac:dyDescent="0.25">
      <c r="B30" t="s">
        <v>55</v>
      </c>
      <c r="E30" s="26" t="s">
        <v>56</v>
      </c>
      <c r="F30" t="s">
        <v>10</v>
      </c>
      <c r="G30" s="27">
        <f>(Air_Properties!$Q$16*G24^4+Air_Properties!$R$16*G24^3+Air_Properties!$S$16*G24^2+Air_Properties!$T$16*G24+Air_Properties!$U$16)/10^6</f>
        <v>1.606272591063927E-5</v>
      </c>
      <c r="H30" s="27">
        <f>(Air_Properties!$Q$16*H24^4+Air_Properties!$R$16*H24^3+Air_Properties!$S$16*H24^2+Air_Properties!$T$16*H24+Air_Properties!$U$16)/10^6</f>
        <v>1.6272867341642453E-5</v>
      </c>
      <c r="I30" s="27">
        <f>(Air_Properties!$Q$16*I24^4+Air_Properties!$R$16*I24^3+Air_Properties!$S$16*I24^2+Air_Properties!$T$16*I24+Air_Properties!$U$16)/10^6</f>
        <v>1.6272679969709159E-5</v>
      </c>
      <c r="J30" s="27">
        <f>(Air_Properties!$Q$16*J24^4+Air_Properties!$R$16*J24^3+Air_Properties!$S$16*J24^2+Air_Properties!$T$16*J24+Air_Properties!$U$16)/10^6</f>
        <v>1.6272680276215827E-5</v>
      </c>
      <c r="K30" s="27">
        <f>(Air_Properties!$Q$16*K24^4+Air_Properties!$R$16*K24^3+Air_Properties!$S$16*K24^2+Air_Properties!$T$16*K24+Air_Properties!$U$16)/10^6</f>
        <v>1.627268027569972E-5</v>
      </c>
      <c r="L30" s="27"/>
      <c r="M30" s="25"/>
      <c r="N30" s="43"/>
      <c r="O30" s="43"/>
      <c r="P30" s="43"/>
      <c r="Q30" s="43"/>
      <c r="R30" s="43"/>
    </row>
    <row r="31" spans="1:18" x14ac:dyDescent="0.25">
      <c r="B31" t="s">
        <v>57</v>
      </c>
      <c r="E31" s="26" t="s">
        <v>4</v>
      </c>
      <c r="F31" t="s">
        <v>8</v>
      </c>
      <c r="G31" s="12">
        <f>Air_Properties!$Q$4*G24^4+Air_Properties!$R$4*G24^3+Air_Properties!$S$4*G24^2+Air_Properties!$T$4*G24+Air_Properties!$U$4</f>
        <v>1.0050409922665842</v>
      </c>
      <c r="H31" s="12">
        <f>Air_Properties!$Q$4*H24^4+Air_Properties!$R$4*H24^3+Air_Properties!$S$4*H24^2+Air_Properties!$T$4*H24+Air_Properties!$U$4</f>
        <v>1.0051219241058296</v>
      </c>
      <c r="I31" s="12">
        <f>Air_Properties!$Q$4*I24^4+Air_Properties!$R$4*I24^3+Air_Properties!$S$4*I24^2+Air_Properties!$T$4*I24+Air_Properties!$U$4</f>
        <v>1.0051218495131202</v>
      </c>
      <c r="J31" s="12">
        <f>Air_Properties!$Q$4*J24^4+Air_Properties!$R$4*J24^3+Air_Properties!$S$4*J24^2+Air_Properties!$T$4*J24+Air_Properties!$U$4</f>
        <v>1.0051218496351368</v>
      </c>
      <c r="K31" s="12">
        <f>Air_Properties!$Q$4*K24^4+Air_Properties!$R$4*K24^3+Air_Properties!$S$4*K24^2+Air_Properties!$T$4*K24+Air_Properties!$U$4</f>
        <v>1.0051218496349315</v>
      </c>
      <c r="L31" s="12"/>
      <c r="M31" s="25"/>
      <c r="N31" s="43"/>
      <c r="O31" s="43"/>
      <c r="P31" s="43"/>
      <c r="Q31" s="43"/>
      <c r="R31" s="43"/>
    </row>
    <row r="32" spans="1:18" x14ac:dyDescent="0.25">
      <c r="B32" t="s">
        <v>67</v>
      </c>
      <c r="E32" s="26" t="s">
        <v>68</v>
      </c>
      <c r="F32" t="s">
        <v>121</v>
      </c>
      <c r="G32" s="27">
        <f>(Air_Properties!$Q$28*G24^4+Air_Properties!$R$28*G24^3+Air_Properties!$S$28*G24^2+Air_Properties!$T$28*G24+Air_Properties!$U$28)/10^6</f>
        <v>2.2717310404072196E-5</v>
      </c>
      <c r="H32" s="27">
        <f>(Air_Properties!$Q$28*H24^4+Air_Properties!$R$28*H24^3+Air_Properties!$S$28*H24^2+Air_Properties!$T$28*H24+Air_Properties!$U$28)/10^6</f>
        <v>2.3038240364257668E-5</v>
      </c>
      <c r="I32" s="27">
        <f>(Air_Properties!$Q$28*I24^4+Air_Properties!$R$28*I24^3+Air_Properties!$S$28*I24^2+Air_Properties!$T$28*I24+Air_Properties!$U$28)/10^6</f>
        <v>2.3037954173334315E-5</v>
      </c>
      <c r="J32" s="27">
        <f>(Air_Properties!$Q$28*J24^4+Air_Properties!$R$28*J24^3+Air_Properties!$S$28*J24^2+Air_Properties!$T$28*J24+Air_Properties!$U$28)/10^6</f>
        <v>2.3037954641490966E-5</v>
      </c>
      <c r="K32" s="27">
        <f>(Air_Properties!$Q$28*K24^4+Air_Properties!$R$28*K24^3+Air_Properties!$S$28*K24^2+Air_Properties!$T$28*K24+Air_Properties!$U$28)/10^6</f>
        <v>2.3037954640702666E-5</v>
      </c>
      <c r="L32" s="27"/>
      <c r="M32" s="19"/>
      <c r="N32" s="30"/>
      <c r="O32" s="30"/>
      <c r="P32" s="30"/>
      <c r="Q32" s="30"/>
      <c r="R32" s="30"/>
    </row>
    <row r="33" spans="2:18" x14ac:dyDescent="0.25">
      <c r="B33" t="s">
        <v>62</v>
      </c>
      <c r="E33" s="26" t="s">
        <v>63</v>
      </c>
      <c r="G33" s="30">
        <f>($E$16/1000)*$E$10/G30</f>
        <v>41160.51059316664</v>
      </c>
      <c r="H33" s="30">
        <f t="shared" ref="H33:K33" si="6">($E$16/1000)*$E$10/H30</f>
        <v>40628.979891460767</v>
      </c>
      <c r="I33" s="30">
        <f t="shared" si="6"/>
        <v>40629.447714248672</v>
      </c>
      <c r="J33" s="30">
        <f t="shared" si="6"/>
        <v>40629.446948966215</v>
      </c>
      <c r="K33" s="30">
        <f t="shared" si="6"/>
        <v>40629.446950254831</v>
      </c>
      <c r="L33" s="30"/>
      <c r="M33" s="30"/>
      <c r="N33" s="30"/>
      <c r="O33" s="30"/>
      <c r="P33" s="30"/>
      <c r="Q33" s="30"/>
      <c r="R33" s="30"/>
    </row>
    <row r="34" spans="2:18" x14ac:dyDescent="0.25">
      <c r="B34" t="s">
        <v>112</v>
      </c>
      <c r="E34" s="26" t="s">
        <v>69</v>
      </c>
      <c r="G34" s="30">
        <f>9.81*G28*ABS(G20-$E$9)*($E$16/1000)^3/(G30*G32)</f>
        <v>600738.39591763879</v>
      </c>
      <c r="H34" s="30">
        <f t="shared" ref="H34:K34" si="7">9.81*H28*ABS(H20-$E$9)*($E$16/1000)^3/(H30*H32)</f>
        <v>3153305.5093185129</v>
      </c>
      <c r="I34" s="30">
        <f t="shared" si="7"/>
        <v>3151113.1515048463</v>
      </c>
      <c r="J34" s="30">
        <f t="shared" si="7"/>
        <v>3151116.7379254331</v>
      </c>
      <c r="K34" s="30">
        <f t="shared" si="7"/>
        <v>3151116.7318865219</v>
      </c>
      <c r="L34" s="30"/>
      <c r="M34" s="30"/>
      <c r="N34" s="20"/>
      <c r="O34" s="20"/>
      <c r="P34" s="20"/>
      <c r="Q34" s="20"/>
      <c r="R34" s="20"/>
    </row>
    <row r="36" spans="2:18" x14ac:dyDescent="0.25">
      <c r="B36" s="24" t="s">
        <v>116</v>
      </c>
    </row>
    <row r="37" spans="2:18" x14ac:dyDescent="0.25">
      <c r="B37" t="s">
        <v>58</v>
      </c>
      <c r="E37" t="s">
        <v>117</v>
      </c>
      <c r="F37" t="s">
        <v>123</v>
      </c>
      <c r="G37" s="12">
        <f>0.00000005670373*$E$14*((G20+273.15)^4-($E$9+273.15)^4)/((G20+273.15)-($E$9+273.15))</f>
        <v>5.6030604873110077</v>
      </c>
      <c r="H37" s="12">
        <f>0.00000005670373*$E$14*((H20+273.15)^4-($E$9+273.15)^4)/((H20+273.15)-($E$9+273.15))</f>
        <v>5.7279095940905895</v>
      </c>
      <c r="I37" s="12">
        <f>0.00000005670373*$E$14*((I20+273.15)^4-($E$9+273.15)^4)/((I20+273.15)-($E$9+273.15))</f>
        <v>5.7277974728243306</v>
      </c>
      <c r="J37" s="12">
        <f>0.00000005670373*$E$14*((J20+273.15)^4-($E$9+273.15)^4)/((J20+273.15)-($E$9+273.15))</f>
        <v>5.7277976562333297</v>
      </c>
      <c r="K37" s="12">
        <f>0.00000005670373*$E$14*((K20+273.15)^4-($E$9+273.15)^4)/((K20+273.15)-($E$9+273.15))</f>
        <v>5.7277976559245101</v>
      </c>
      <c r="L37" s="12"/>
      <c r="M37" s="25"/>
      <c r="N37" s="41"/>
      <c r="O37" s="41"/>
      <c r="P37" s="41"/>
      <c r="Q37" s="41"/>
      <c r="R37" s="41"/>
    </row>
    <row r="38" spans="2:18" x14ac:dyDescent="0.25">
      <c r="B38" t="s">
        <v>59</v>
      </c>
    </row>
    <row r="39" spans="2:18" x14ac:dyDescent="0.25">
      <c r="B39" t="s">
        <v>60</v>
      </c>
      <c r="E39" t="s">
        <v>61</v>
      </c>
      <c r="G39" s="20">
        <f>0.3+(0.62*G33^0.5*G27^(1/3))*(1+(G33/282000)^(5/8))^(4/5)/(1 + (0.4/G27)^(2/3))^(1/4)</f>
        <v>121.66039643654534</v>
      </c>
      <c r="H39" s="20">
        <f>0.3+(0.62*H33^0.5*H27^(1/3))*(1+(H33/282000)^(5/8))^(4/5)/(1 + (0.4/H27)^(2/3))^(1/4)</f>
        <v>120.65796150993482</v>
      </c>
      <c r="I39" s="20">
        <f t="shared" ref="I39:K39" si="8">0.3+(0.62*I33^0.5*I27^(1/3))*(1+(I33/282000)^(5/8))^(4/5)/(1 + (0.4/I27)^(2/3))^(1/4)</f>
        <v>120.65884531522204</v>
      </c>
      <c r="J39" s="20">
        <f t="shared" si="8"/>
        <v>120.65884386946163</v>
      </c>
      <c r="K39" s="20">
        <f t="shared" si="8"/>
        <v>120.6588438718961</v>
      </c>
      <c r="L39" s="20"/>
      <c r="M39" s="20"/>
      <c r="N39" s="25"/>
      <c r="O39" s="25"/>
      <c r="P39" s="25"/>
      <c r="Q39" s="25"/>
      <c r="R39" s="25"/>
    </row>
    <row r="40" spans="2:18" x14ac:dyDescent="0.25">
      <c r="E40" t="s">
        <v>65</v>
      </c>
      <c r="F40" t="s">
        <v>123</v>
      </c>
      <c r="G40" s="12">
        <f>G39*G25/($E$16/1000)</f>
        <v>16.994362079759469</v>
      </c>
      <c r="H40" s="12">
        <f t="shared" ref="H40:K40" si="9">H39*H25/($E$16/1000)</f>
        <v>16.966074635836556</v>
      </c>
      <c r="I40" s="12">
        <f t="shared" si="9"/>
        <v>16.966099619484712</v>
      </c>
      <c r="J40" s="12">
        <f t="shared" si="9"/>
        <v>16.966099578615623</v>
      </c>
      <c r="K40" s="12">
        <f t="shared" si="9"/>
        <v>16.966099578684442</v>
      </c>
      <c r="L40" s="12"/>
      <c r="M40" s="25"/>
      <c r="N40" s="25"/>
      <c r="O40" s="25"/>
      <c r="P40" s="25"/>
      <c r="Q40" s="25"/>
      <c r="R40" s="25"/>
    </row>
    <row r="41" spans="2:18" x14ac:dyDescent="0.25">
      <c r="B41" t="s">
        <v>66</v>
      </c>
      <c r="E41" t="s">
        <v>70</v>
      </c>
      <c r="G41" s="12">
        <f>(0.6 + 0.387*G34^(1/6)/( 1 +(0.559/G27)^(9/16))^(8/27))^2</f>
        <v>12.603686001916518</v>
      </c>
      <c r="H41" s="12">
        <f t="shared" ref="H41:K41" si="10">(0.6 + 0.387*H34^(1/6)/( 1 +(0.559/H27)^(9/16))^(8/27))^2</f>
        <v>20.150871892151777</v>
      </c>
      <c r="I41" s="12">
        <f t="shared" si="10"/>
        <v>20.146826900366403</v>
      </c>
      <c r="J41" s="12">
        <f t="shared" si="10"/>
        <v>20.146833519046716</v>
      </c>
      <c r="K41" s="12">
        <f t="shared" si="10"/>
        <v>20.146833507902009</v>
      </c>
      <c r="L41" s="12"/>
      <c r="M41" s="12"/>
      <c r="N41" s="28"/>
      <c r="O41" s="28"/>
      <c r="P41" s="28"/>
      <c r="Q41" s="28"/>
      <c r="R41" s="28"/>
    </row>
    <row r="42" spans="2:18" x14ac:dyDescent="0.25">
      <c r="E42" t="s">
        <v>71</v>
      </c>
      <c r="F42" t="s">
        <v>123</v>
      </c>
      <c r="G42" s="12">
        <f>G41*G25/($E$16/1000)</f>
        <v>1.7605696654776368</v>
      </c>
      <c r="H42" s="12">
        <f t="shared" ref="H42:K42" si="11">H41*H25/($E$16/1000)</f>
        <v>2.8334739972486442</v>
      </c>
      <c r="I42" s="12">
        <f t="shared" si="11"/>
        <v>2.8328886399927153</v>
      </c>
      <c r="J42" s="12">
        <f t="shared" si="11"/>
        <v>2.8328895977798232</v>
      </c>
      <c r="K42" s="12">
        <f t="shared" si="11"/>
        <v>2.832889596167075</v>
      </c>
      <c r="L42" s="12"/>
      <c r="M42" s="25"/>
      <c r="N42" s="28"/>
      <c r="O42" s="28"/>
      <c r="P42" s="28"/>
      <c r="Q42" s="28"/>
      <c r="R42" s="28"/>
    </row>
    <row r="43" spans="2:18" x14ac:dyDescent="0.25">
      <c r="B43" t="s">
        <v>72</v>
      </c>
      <c r="E43" t="s">
        <v>73</v>
      </c>
      <c r="G43" s="20">
        <f>(G39^4+G41^4)^(1/4)</f>
        <v>121.66389962796568</v>
      </c>
      <c r="H43" s="20">
        <f t="shared" ref="H43:K43" si="12">(H39^4+H41^4)^(1/4)</f>
        <v>120.68142111882204</v>
      </c>
      <c r="I43" s="20">
        <f t="shared" si="12"/>
        <v>120.68228558368217</v>
      </c>
      <c r="J43" s="20">
        <f t="shared" si="12"/>
        <v>120.6822841695576</v>
      </c>
      <c r="K43" s="20">
        <f t="shared" si="12"/>
        <v>120.68228417193889</v>
      </c>
      <c r="L43" s="20"/>
      <c r="M43" s="20"/>
      <c r="N43" s="20"/>
      <c r="O43" s="20"/>
      <c r="P43" s="20"/>
      <c r="Q43" s="20"/>
      <c r="R43" s="20"/>
    </row>
    <row r="44" spans="2:18" x14ac:dyDescent="0.25">
      <c r="E44" t="s">
        <v>74</v>
      </c>
      <c r="F44" t="s">
        <v>123</v>
      </c>
      <c r="G44" s="12">
        <f>G43*G25/($E$16/1000)</f>
        <v>16.994851429664415</v>
      </c>
      <c r="H44" s="12">
        <f t="shared" ref="H44:K44" si="13">H43*H25/($E$16/1000)</f>
        <v>16.969373361178235</v>
      </c>
      <c r="I44" s="12">
        <f t="shared" si="13"/>
        <v>16.969395606022317</v>
      </c>
      <c r="J44" s="12">
        <f t="shared" si="13"/>
        <v>16.969395569633168</v>
      </c>
      <c r="K44" s="12">
        <f t="shared" si="13"/>
        <v>16.969395569694456</v>
      </c>
      <c r="L44" s="12"/>
      <c r="M44" s="12"/>
      <c r="N44" s="12"/>
      <c r="O44" s="12"/>
      <c r="P44" s="12"/>
      <c r="Q44" s="12"/>
      <c r="R44" s="12"/>
    </row>
    <row r="45" spans="2:18" x14ac:dyDescent="0.25">
      <c r="B45" t="s">
        <v>75</v>
      </c>
      <c r="E45" t="s">
        <v>76</v>
      </c>
      <c r="F45" t="s">
        <v>123</v>
      </c>
      <c r="G45" s="12">
        <f>G44+G37</f>
        <v>22.597911916975423</v>
      </c>
      <c r="H45" s="12">
        <f t="shared" ref="H45:K45" si="14">H44+H37</f>
        <v>22.697282955268825</v>
      </c>
      <c r="I45" s="12">
        <f t="shared" si="14"/>
        <v>22.697193078846649</v>
      </c>
      <c r="J45" s="12">
        <f t="shared" si="14"/>
        <v>22.697193225866499</v>
      </c>
      <c r="K45" s="12">
        <f t="shared" si="14"/>
        <v>22.697193225618967</v>
      </c>
      <c r="L45" s="12"/>
      <c r="M45" s="12"/>
      <c r="N45" s="28"/>
      <c r="O45" s="28"/>
      <c r="P45" s="28"/>
      <c r="Q45" s="28"/>
      <c r="R45" s="28"/>
    </row>
    <row r="46" spans="2:18" x14ac:dyDescent="0.25">
      <c r="B46" s="24" t="s">
        <v>88</v>
      </c>
      <c r="G46" s="12"/>
      <c r="H46" s="12"/>
      <c r="I46" s="12"/>
      <c r="J46" s="12"/>
      <c r="K46" s="12"/>
    </row>
    <row r="47" spans="2:18" x14ac:dyDescent="0.25">
      <c r="B47" t="s">
        <v>89</v>
      </c>
      <c r="E47" t="s">
        <v>90</v>
      </c>
      <c r="F47" t="s">
        <v>45</v>
      </c>
      <c r="G47" s="12">
        <f>Properties!$G$9*($E$8+273.15)^3+Properties!$H$9*($E$8+273.15)^2+Properties!$I$9*($E$8+273.15)+Properties!$J$9</f>
        <v>56.04544594089765</v>
      </c>
      <c r="H47" s="12">
        <f>Properties!$G$9*($E$8+273.15)^3+Properties!$H$9*($E$8+273.15)^2+Properties!$I$9*($E$8+273.15)+Properties!$J$9</f>
        <v>56.04544594089765</v>
      </c>
      <c r="I47" s="12">
        <f>Properties!$G$9*($E$8+273.15)^3+Properties!$H$9*($E$8+273.15)^2+Properties!$I$9*($E$8+273.15)+Properties!$J$9</f>
        <v>56.04544594089765</v>
      </c>
      <c r="J47" s="12">
        <f>Properties!$G$9*($E$8+273.15)^3+Properties!$H$9*($E$8+273.15)^2+Properties!$I$9*($E$8+273.15)+Properties!$J$9</f>
        <v>56.04544594089765</v>
      </c>
      <c r="K47" s="12">
        <f>Properties!$G$9*($E$8+273.15)^3+Properties!$H$9*($E$8+273.15)^2+Properties!$I$9*($E$8+273.15)+Properties!$J$9</f>
        <v>56.04544594089765</v>
      </c>
      <c r="L47" s="12"/>
      <c r="M47" s="12"/>
      <c r="N47" s="12"/>
      <c r="O47" s="12"/>
      <c r="P47" s="12"/>
      <c r="Q47" s="12"/>
      <c r="R47" s="12"/>
    </row>
    <row r="48" spans="2:18" x14ac:dyDescent="0.25">
      <c r="B48" t="s">
        <v>91</v>
      </c>
      <c r="E48" t="s">
        <v>92</v>
      </c>
      <c r="F48" t="s">
        <v>124</v>
      </c>
      <c r="G48" s="28">
        <f>($E$16/1000)*LN($E$7/$E$6)/(2*G47)</f>
        <v>2.2200854089840874E-4</v>
      </c>
      <c r="H48" s="28">
        <f t="shared" ref="H48:K48" si="15">($E$16/1000)*LN($E$7/$E$6)/(2*H47)</f>
        <v>2.2200854089840874E-4</v>
      </c>
      <c r="I48" s="28">
        <f t="shared" si="15"/>
        <v>2.2200854089840874E-4</v>
      </c>
      <c r="J48" s="28">
        <f t="shared" si="15"/>
        <v>2.2200854089840874E-4</v>
      </c>
      <c r="K48" s="28">
        <f t="shared" si="15"/>
        <v>2.2200854089840874E-4</v>
      </c>
      <c r="L48" s="28"/>
      <c r="M48" s="28"/>
      <c r="N48" s="42"/>
      <c r="O48" s="42"/>
      <c r="P48" s="42"/>
      <c r="Q48" s="42"/>
      <c r="R48" s="42"/>
    </row>
    <row r="49" spans="1:18" x14ac:dyDescent="0.25">
      <c r="B49" s="24" t="s">
        <v>93</v>
      </c>
    </row>
    <row r="50" spans="1:18" x14ac:dyDescent="0.25">
      <c r="B50" s="40" t="s">
        <v>96</v>
      </c>
      <c r="F50" s="26" t="s">
        <v>119</v>
      </c>
      <c r="G50">
        <f>(G20+G21)/2+273.15</f>
        <v>377.15</v>
      </c>
      <c r="H50">
        <f t="shared" ref="H50:K50" si="16">(H20+H21)/2+273.15</f>
        <v>379.85260574164261</v>
      </c>
      <c r="I50">
        <f t="shared" si="16"/>
        <v>379.85058469158025</v>
      </c>
      <c r="J50">
        <f t="shared" si="16"/>
        <v>379.85058795379541</v>
      </c>
      <c r="K50">
        <f t="shared" si="16"/>
        <v>379.85058794830496</v>
      </c>
      <c r="L50" s="12"/>
      <c r="M50" s="12"/>
      <c r="N50" s="12"/>
    </row>
    <row r="51" spans="1:18" x14ac:dyDescent="0.25">
      <c r="B51" t="s">
        <v>94</v>
      </c>
      <c r="E51" t="s">
        <v>95</v>
      </c>
      <c r="F51" t="s">
        <v>45</v>
      </c>
      <c r="G51" s="28">
        <f>Properties!$G$18*G50^4+Properties!$H$18*G50^3+Properties!$I$18*G50^2+Properties!$J$18*G50+Properties!$K$18</f>
        <v>5.963648209067228E-2</v>
      </c>
      <c r="H51" s="28">
        <f>Properties!$G$18*H50^4+Properties!$H$18*H50^3+Properties!$I$18*H50^2+Properties!$J$18*H50+Properties!$K$18</f>
        <v>5.9853689516468717E-2</v>
      </c>
      <c r="I51" s="28">
        <f>Properties!$G$18*I50^4+Properties!$H$18*I50^3+Properties!$I$18*I50^2+Properties!$J$18*I50+Properties!$K$18</f>
        <v>5.9853526212047911E-2</v>
      </c>
      <c r="J51" s="28">
        <f>Properties!$G$18*J50^4+Properties!$H$18*J50^3+Properties!$I$18*J50^2+Properties!$J$18*J50+Properties!$K$18</f>
        <v>5.9853526475639615E-2</v>
      </c>
      <c r="K51" s="28">
        <f>Properties!$G$18*K50^4+Properties!$H$18*K50^3+Properties!$I$18*K50^2+Properties!$J$18*K50+Properties!$K$18</f>
        <v>5.9853526475195984E-2</v>
      </c>
      <c r="L51" s="28"/>
      <c r="M51" s="28"/>
      <c r="N51" s="28"/>
      <c r="O51" s="28"/>
      <c r="P51" s="28"/>
      <c r="Q51" s="28"/>
      <c r="R51" s="28"/>
    </row>
    <row r="52" spans="1:18" x14ac:dyDescent="0.25">
      <c r="B52" t="s">
        <v>97</v>
      </c>
      <c r="E52" t="s">
        <v>98</v>
      </c>
      <c r="F52" t="s">
        <v>124</v>
      </c>
      <c r="G52" s="12">
        <f>($E$16/1000)*LN($E$16/$E$7)/(2*G51)</f>
        <v>1.1936904130762553</v>
      </c>
      <c r="H52" s="12">
        <f t="shared" ref="H52:K52" si="17">($E$16/1000)*LN($E$16/$E$7)/(2*H51)</f>
        <v>1.1893585427451734</v>
      </c>
      <c r="I52" s="12">
        <f t="shared" si="17"/>
        <v>1.1893617877922114</v>
      </c>
      <c r="J52" s="12">
        <f t="shared" si="17"/>
        <v>1.1893617825543261</v>
      </c>
      <c r="K52" s="12">
        <f t="shared" si="17"/>
        <v>1.1893617825631417</v>
      </c>
      <c r="L52" s="12"/>
      <c r="M52" s="12"/>
      <c r="N52" s="25"/>
      <c r="O52" s="25"/>
      <c r="P52" s="25"/>
      <c r="Q52" s="25"/>
      <c r="R52" s="25"/>
    </row>
    <row r="53" spans="1:18" x14ac:dyDescent="0.25">
      <c r="B53" s="24" t="s">
        <v>99</v>
      </c>
      <c r="E53" t="s">
        <v>100</v>
      </c>
      <c r="F53" t="s">
        <v>124</v>
      </c>
      <c r="G53" s="2">
        <f>G52+G48+1/G45</f>
        <v>1.2381642977937666</v>
      </c>
      <c r="H53" s="2">
        <f t="shared" ref="H53:K53" si="18">H52+H48+1/H45</f>
        <v>1.2336386881992332</v>
      </c>
      <c r="I53" s="2">
        <f t="shared" si="18"/>
        <v>1.2336421077078312</v>
      </c>
      <c r="J53" s="2">
        <f t="shared" si="18"/>
        <v>1.2336421021845607</v>
      </c>
      <c r="K53" s="2">
        <f t="shared" si="18"/>
        <v>1.2336421021938568</v>
      </c>
      <c r="L53" s="2"/>
      <c r="M53" s="2"/>
      <c r="N53" s="28"/>
      <c r="O53" s="28"/>
      <c r="P53" s="28"/>
      <c r="Q53" s="28"/>
      <c r="R53" s="28"/>
    </row>
    <row r="54" spans="1:18" x14ac:dyDescent="0.25">
      <c r="B54" t="s">
        <v>77</v>
      </c>
      <c r="E54" t="s">
        <v>78</v>
      </c>
      <c r="F54" t="s">
        <v>125</v>
      </c>
      <c r="G54" s="12">
        <f>($E$8-$E$9)/G53</f>
        <v>122.76238320782022</v>
      </c>
      <c r="H54" s="12">
        <f t="shared" ref="H54:K54" si="19">($E$8-$E$9)/H53</f>
        <v>123.21273761434753</v>
      </c>
      <c r="I54" s="12">
        <f t="shared" si="19"/>
        <v>123.21239608335323</v>
      </c>
      <c r="J54" s="12">
        <f t="shared" si="19"/>
        <v>123.21239663500057</v>
      </c>
      <c r="K54" s="12">
        <f t="shared" si="19"/>
        <v>123.21239663407211</v>
      </c>
      <c r="L54" s="12"/>
      <c r="M54" s="12"/>
      <c r="N54" s="12"/>
      <c r="O54" s="12"/>
      <c r="P54" s="12"/>
      <c r="Q54" s="12"/>
      <c r="R54" s="12"/>
    </row>
    <row r="55" spans="1:18" x14ac:dyDescent="0.25">
      <c r="B55" t="s">
        <v>40</v>
      </c>
      <c r="E55" t="s">
        <v>101</v>
      </c>
      <c r="F55" t="s">
        <v>118</v>
      </c>
      <c r="G55" s="20">
        <f>$E$8 - G54*G48</f>
        <v>179.97274570242683</v>
      </c>
      <c r="H55" s="20">
        <f t="shared" ref="H55:K55" si="20">$E$8 - H54*H48</f>
        <v>179.97264571990215</v>
      </c>
      <c r="I55" s="20">
        <f t="shared" si="20"/>
        <v>179.97264579572493</v>
      </c>
      <c r="J55" s="20">
        <f t="shared" si="20"/>
        <v>179.97264579560246</v>
      </c>
      <c r="K55" s="20">
        <f t="shared" si="20"/>
        <v>179.97264579560269</v>
      </c>
      <c r="L55" s="20"/>
      <c r="M55" s="20"/>
      <c r="N55" s="2"/>
      <c r="O55" s="2"/>
      <c r="P55" s="2"/>
      <c r="Q55" s="2"/>
      <c r="R55" s="2"/>
    </row>
    <row r="56" spans="1:18" x14ac:dyDescent="0.25">
      <c r="B56" t="s">
        <v>103</v>
      </c>
      <c r="E56" t="s">
        <v>102</v>
      </c>
      <c r="F56" t="s">
        <v>118</v>
      </c>
      <c r="G56" s="12">
        <f>G55-G54*G52</f>
        <v>33.432465780858365</v>
      </c>
      <c r="H56" s="12">
        <f t="shared" ref="H56:K56" si="21">H55-H54*H52</f>
        <v>33.428523663258346</v>
      </c>
      <c r="I56" s="12">
        <f t="shared" si="21"/>
        <v>33.428530111865882</v>
      </c>
      <c r="J56" s="12">
        <f t="shared" si="21"/>
        <v>33.428530101007539</v>
      </c>
      <c r="K56" s="12">
        <f t="shared" si="21"/>
        <v>33.428530101025842</v>
      </c>
      <c r="L56" s="12"/>
      <c r="M56" s="12"/>
      <c r="N56" s="28"/>
      <c r="O56" s="28"/>
      <c r="P56" s="28"/>
      <c r="Q56" s="28"/>
      <c r="R56" s="28"/>
    </row>
    <row r="57" spans="1:18" x14ac:dyDescent="0.25">
      <c r="B57" t="s">
        <v>109</v>
      </c>
      <c r="F57" t="s">
        <v>108</v>
      </c>
      <c r="G57" s="12">
        <f>G54*PI()*($E$16/1000)</f>
        <v>72.852949890998815</v>
      </c>
      <c r="H57" s="12">
        <f t="shared" ref="H57:K57" si="22">H54*PI()*($E$16/1000)</f>
        <v>73.120211295955258</v>
      </c>
      <c r="I57" s="12">
        <f t="shared" si="22"/>
        <v>73.120008615461742</v>
      </c>
      <c r="J57" s="12">
        <f t="shared" si="22"/>
        <v>73.120008942835128</v>
      </c>
      <c r="K57" s="12">
        <f t="shared" si="22"/>
        <v>73.12000894228413</v>
      </c>
      <c r="N57" s="25"/>
      <c r="O57" s="25"/>
      <c r="P57" s="25"/>
      <c r="Q57" s="25"/>
      <c r="R57" s="25"/>
    </row>
    <row r="59" spans="1:18" x14ac:dyDescent="0.25">
      <c r="A59" s="22"/>
      <c r="B59" s="18" t="s">
        <v>115</v>
      </c>
    </row>
    <row r="60" spans="1:18" x14ac:dyDescent="0.25">
      <c r="A60" s="22"/>
      <c r="B60" s="24"/>
      <c r="E60" t="s">
        <v>104</v>
      </c>
      <c r="G60">
        <v>1</v>
      </c>
      <c r="H60">
        <v>2</v>
      </c>
      <c r="I60">
        <v>3</v>
      </c>
      <c r="J60">
        <v>4</v>
      </c>
      <c r="K60">
        <v>5</v>
      </c>
    </row>
    <row r="61" spans="1:18" x14ac:dyDescent="0.25">
      <c r="A61" s="22"/>
      <c r="B61" t="s">
        <v>39</v>
      </c>
      <c r="E61" t="s">
        <v>131</v>
      </c>
      <c r="F61" t="s">
        <v>118</v>
      </c>
      <c r="G61" s="20">
        <f>E9+1</f>
        <v>29</v>
      </c>
      <c r="H61" s="20">
        <f>G92</f>
        <v>179.55582667596806</v>
      </c>
      <c r="I61" s="20">
        <f t="shared" ref="I61:K61" si="23">H92</f>
        <v>179.48594137469843</v>
      </c>
      <c r="J61" s="20">
        <f t="shared" si="23"/>
        <v>179.48598601254628</v>
      </c>
      <c r="K61" s="20">
        <f t="shared" si="23"/>
        <v>179.48598598403862</v>
      </c>
      <c r="O61" s="2"/>
      <c r="P61" s="2"/>
      <c r="Q61" s="2"/>
      <c r="R61" s="2"/>
    </row>
    <row r="62" spans="1:18" x14ac:dyDescent="0.25">
      <c r="A62" s="22"/>
      <c r="B62" t="s">
        <v>106</v>
      </c>
      <c r="G62" s="46">
        <v>0.8</v>
      </c>
      <c r="H62" s="17">
        <f>G62</f>
        <v>0.8</v>
      </c>
      <c r="I62" s="17">
        <f>H62</f>
        <v>0.8</v>
      </c>
      <c r="J62" s="17">
        <f>I62</f>
        <v>0.8</v>
      </c>
      <c r="K62" s="17">
        <f>J62</f>
        <v>0.8</v>
      </c>
    </row>
    <row r="63" spans="1:18" x14ac:dyDescent="0.25">
      <c r="A63" s="22"/>
      <c r="B63" s="24" t="s">
        <v>41</v>
      </c>
    </row>
    <row r="64" spans="1:18" x14ac:dyDescent="0.25">
      <c r="A64" s="22"/>
      <c r="B64" t="s">
        <v>42</v>
      </c>
      <c r="E64" t="s">
        <v>130</v>
      </c>
      <c r="F64" t="s">
        <v>118</v>
      </c>
      <c r="G64">
        <f>(G61+$E$9)/2</f>
        <v>28.5</v>
      </c>
      <c r="H64" s="12">
        <f t="shared" ref="H64:K64" si="24">(H61+$E$9)/2</f>
        <v>103.77791333798403</v>
      </c>
      <c r="I64" s="12">
        <f t="shared" si="24"/>
        <v>103.74297068734921</v>
      </c>
      <c r="J64" s="12">
        <f t="shared" si="24"/>
        <v>103.74299300627314</v>
      </c>
      <c r="K64" s="12">
        <f t="shared" si="24"/>
        <v>103.74299299201931</v>
      </c>
    </row>
    <row r="65" spans="1:18" x14ac:dyDescent="0.25">
      <c r="A65" s="22"/>
      <c r="F65" s="26" t="s">
        <v>119</v>
      </c>
      <c r="G65">
        <f>G64+273.15</f>
        <v>301.64999999999998</v>
      </c>
      <c r="H65" s="12">
        <f t="shared" ref="H65:K65" si="25">H64+273.15</f>
        <v>376.92791333798402</v>
      </c>
      <c r="I65" s="12">
        <f t="shared" si="25"/>
        <v>376.89297068734919</v>
      </c>
      <c r="J65" s="12">
        <f t="shared" si="25"/>
        <v>376.89299300627312</v>
      </c>
      <c r="K65" s="12">
        <f t="shared" si="25"/>
        <v>376.89299299201929</v>
      </c>
    </row>
    <row r="66" spans="1:18" x14ac:dyDescent="0.25">
      <c r="A66" s="22"/>
      <c r="B66" t="s">
        <v>43</v>
      </c>
      <c r="E66" t="s">
        <v>44</v>
      </c>
      <c r="F66" t="s">
        <v>45</v>
      </c>
      <c r="G66" s="25">
        <f>(Air_Properties!$Q$22*G65^4+Air_Properties!$R$22*G65^3+Air_Properties!$S$22*G65^2+Air_Properties!$T$22*G65+Air_Properties!$U$22)/10^3</f>
        <v>2.6386853001427891E-2</v>
      </c>
      <c r="H66" s="25">
        <f>(Air_Properties!$Q$22*H65^4+Air_Properties!$R$22*H65^3+Air_Properties!$S$22*H65^2+Air_Properties!$T$22*H65+Air_Properties!$U$22)/10^3</f>
        <v>3.2147752139786656E-2</v>
      </c>
      <c r="I66" s="25">
        <f>(Air_Properties!$Q$22*I65^4+Air_Properties!$R$22*I65^3+Air_Properties!$S$22*I65^2+Air_Properties!$T$22*I65+Air_Properties!$U$22)/10^3</f>
        <v>3.2145167678463808E-2</v>
      </c>
      <c r="J66" s="25">
        <f>(Air_Properties!$Q$22*J65^4+Air_Properties!$R$22*J65^3+Air_Properties!$S$22*J65^2+Air_Properties!$T$22*J65+Air_Properties!$U$22)/10^3</f>
        <v>3.2145169329264506E-2</v>
      </c>
      <c r="K66" s="25">
        <f>(Air_Properties!$Q$22*K65^4+Air_Properties!$R$22*K65^3+Air_Properties!$S$22*K65^2+Air_Properties!$T$22*K65+Air_Properties!$U$22)/10^3</f>
        <v>3.2145169328210238E-2</v>
      </c>
      <c r="N66" s="28"/>
      <c r="O66" s="28"/>
      <c r="P66" s="28"/>
      <c r="Q66" s="28"/>
      <c r="R66" s="28"/>
    </row>
    <row r="67" spans="1:18" x14ac:dyDescent="0.25">
      <c r="A67" s="22"/>
      <c r="B67" t="s">
        <v>46</v>
      </c>
      <c r="E67" s="26" t="s">
        <v>47</v>
      </c>
      <c r="F67" t="s">
        <v>120</v>
      </c>
      <c r="G67" s="27">
        <f>(Air_Properties!$Q$10*G65^4+Air_Properties!$R$10*G65^3+Air_Properties!$S$10*G65^2+Air_Properties!$T$10*G65+Air_Properties!$U$10)/10^7</f>
        <v>1.8560422033258572E-5</v>
      </c>
      <c r="H67" s="27">
        <f>(Air_Properties!$Q$10*H65^4+Air_Properties!$R$10*H65^3+Air_Properties!$S$10*H65^2+Air_Properties!$T$10*H65+Air_Properties!$U$10)/10^7</f>
        <v>2.201133673864224E-5</v>
      </c>
      <c r="I67" s="27">
        <f>(Air_Properties!$Q$10*I65^4+Air_Properties!$R$10*I65^3+Air_Properties!$S$10*I65^2+Air_Properties!$T$10*I65+Air_Properties!$U$10)/10^7</f>
        <v>2.2009814488904191E-5</v>
      </c>
      <c r="J67" s="27">
        <f>(Air_Properties!$Q$10*J65^4+Air_Properties!$R$10*J65^3+Air_Properties!$S$10*J65^2+Air_Properties!$T$10*J65+Air_Properties!$U$10)/10^7</f>
        <v>2.2009815461232894E-5</v>
      </c>
      <c r="K67" s="27">
        <f>(Air_Properties!$Q$10*K65^4+Air_Properties!$R$10*K65^3+Air_Properties!$S$10*K65^2+Air_Properties!$T$10*K65+Air_Properties!$U$10)/10^7</f>
        <v>2.2009815460611924E-5</v>
      </c>
      <c r="N67" s="42"/>
      <c r="O67" s="42"/>
      <c r="P67" s="42"/>
      <c r="Q67" s="42"/>
      <c r="R67" s="42"/>
    </row>
    <row r="68" spans="1:18" x14ac:dyDescent="0.25">
      <c r="A68" s="22"/>
      <c r="B68" t="s">
        <v>48</v>
      </c>
      <c r="E68" t="s">
        <v>6</v>
      </c>
      <c r="G68" s="2">
        <f>Air_Properties!$Q$34*G65^4+Air_Properties!$R$34*G65^3+Air_Properties!$S$34*G65^2+Air_Properties!$T$34*G65+Air_Properties!$U$34</f>
        <v>0.70690426091070679</v>
      </c>
      <c r="H68" s="2">
        <f>Air_Properties!$Q$34*H65^4+Air_Properties!$R$34*H65^3+Air_Properties!$S$34*H65^2+Air_Properties!$T$34*H65+Air_Properties!$U$34</f>
        <v>0.69258060352486972</v>
      </c>
      <c r="I68" s="2">
        <f>Air_Properties!$Q$34*I65^4+Air_Properties!$R$34*I65^3+Air_Properties!$S$34*I65^2+Air_Properties!$T$34*I65+Air_Properties!$U$34</f>
        <v>0.69258560330462204</v>
      </c>
      <c r="J68" s="2">
        <f>Air_Properties!$Q$34*J65^4+Air_Properties!$R$34*J65^3+Air_Properties!$S$34*J65^2+Air_Properties!$T$34*J65+Air_Properties!$U$34</f>
        <v>0.69258560011064174</v>
      </c>
      <c r="K68" s="2">
        <f>Air_Properties!$Q$34*K65^4+Air_Properties!$R$34*K65^3+Air_Properties!$S$34*K65^2+Air_Properties!$T$34*K65+Air_Properties!$U$34</f>
        <v>0.69258560011268155</v>
      </c>
      <c r="N68" s="41"/>
      <c r="O68" s="41"/>
      <c r="P68" s="41"/>
      <c r="Q68" s="41"/>
      <c r="R68" s="41"/>
    </row>
    <row r="69" spans="1:18" x14ac:dyDescent="0.25">
      <c r="A69" s="22"/>
      <c r="B69" t="s">
        <v>49</v>
      </c>
      <c r="E69" s="26" t="s">
        <v>50</v>
      </c>
      <c r="F69" t="s">
        <v>51</v>
      </c>
      <c r="G69">
        <f>1/G65</f>
        <v>3.3151002817835241E-3</v>
      </c>
      <c r="H69">
        <f t="shared" ref="H69:K69" si="26">1/H65</f>
        <v>2.6530271826892245E-3</v>
      </c>
      <c r="I69">
        <f t="shared" si="26"/>
        <v>2.653273151198004E-3</v>
      </c>
      <c r="J69">
        <f t="shared" si="26"/>
        <v>2.6532729940759491E-3</v>
      </c>
      <c r="K69">
        <f t="shared" si="26"/>
        <v>2.6532729941762942E-3</v>
      </c>
      <c r="N69" s="42"/>
      <c r="O69" s="42"/>
      <c r="P69" s="42"/>
      <c r="Q69" s="42"/>
      <c r="R69" s="42"/>
    </row>
    <row r="70" spans="1:18" x14ac:dyDescent="0.25">
      <c r="A70" s="22"/>
      <c r="B70" t="s">
        <v>52</v>
      </c>
      <c r="E70" s="26" t="s">
        <v>53</v>
      </c>
      <c r="F70" t="s">
        <v>54</v>
      </c>
      <c r="G70" s="25">
        <f>29/0.0820575/G65</f>
        <v>1.1715919711388012</v>
      </c>
      <c r="H70" s="25">
        <f t="shared" ref="H70:K70" si="27">29/0.0820575/H65</f>
        <v>0.93760824175715207</v>
      </c>
      <c r="I70" s="25">
        <f t="shared" si="27"/>
        <v>0.93769516966446831</v>
      </c>
      <c r="J70" s="25">
        <f t="shared" si="27"/>
        <v>0.93769511413585005</v>
      </c>
      <c r="K70" s="25">
        <f t="shared" si="27"/>
        <v>0.93769511417131302</v>
      </c>
      <c r="N70" s="42"/>
      <c r="O70" s="42"/>
      <c r="P70" s="42"/>
      <c r="Q70" s="42"/>
      <c r="R70" s="42"/>
    </row>
    <row r="71" spans="1:18" x14ac:dyDescent="0.25">
      <c r="A71" s="22"/>
      <c r="B71" t="s">
        <v>55</v>
      </c>
      <c r="E71" s="26" t="s">
        <v>56</v>
      </c>
      <c r="F71" t="s">
        <v>121</v>
      </c>
      <c r="G71" s="27">
        <f>(Air_Properties!$Q$16*G65^4+Air_Properties!$R$16*G65^3+Air_Properties!$S$16*G65^2+Air_Properties!$T$16*G65+Air_Properties!$U$16)/10^6</f>
        <v>1.606272591063927E-5</v>
      </c>
      <c r="H71" s="27">
        <f>(Air_Properties!$Q$16*H65^4+Air_Properties!$R$16*H65^3+Air_Properties!$S$16*H65^2+Air_Properties!$T$16*H65+Air_Properties!$U$16)/10^6</f>
        <v>2.3780754097009029E-5</v>
      </c>
      <c r="I71" s="27">
        <f>(Air_Properties!$Q$16*I65^4+Air_Properties!$R$16*I65^3+Air_Properties!$S$16*I65^2+Air_Properties!$T$16*I65+Air_Properties!$U$16)/10^6</f>
        <v>2.377690423257954E-5</v>
      </c>
      <c r="J71" s="27">
        <f>(Air_Properties!$Q$16*J65^4+Air_Properties!$R$16*J65^3+Air_Properties!$S$16*J65^2+Air_Properties!$T$16*J65+Air_Properties!$U$16)/10^6</f>
        <v>2.3776906691527713E-5</v>
      </c>
      <c r="K71" s="27">
        <f>(Air_Properties!$Q$16*K65^4+Air_Properties!$R$16*K65^3+Air_Properties!$S$16*K65^2+Air_Properties!$T$16*K65+Air_Properties!$U$16)/10^6</f>
        <v>2.377690668995732E-5</v>
      </c>
      <c r="N71" s="43"/>
      <c r="O71" s="43"/>
      <c r="P71" s="43"/>
      <c r="Q71" s="43"/>
      <c r="R71" s="43"/>
    </row>
    <row r="72" spans="1:18" x14ac:dyDescent="0.25">
      <c r="A72" s="22"/>
      <c r="B72" t="s">
        <v>57</v>
      </c>
      <c r="E72" s="26" t="s">
        <v>4</v>
      </c>
      <c r="F72" t="s">
        <v>8</v>
      </c>
      <c r="G72" s="12">
        <f>Air_Properties!$Q$4*G65^4+Air_Properties!$R$4*G65^3+Air_Properties!$S$4*G65^2+Air_Properties!$T$4*G65+Air_Properties!$U$4</f>
        <v>1.0050409922665842</v>
      </c>
      <c r="H72" s="12">
        <f>Air_Properties!$Q$4*H65^4+Air_Properties!$R$4*H65^3+Air_Properties!$S$4*H65^2+Air_Properties!$T$4*H65+Air_Properties!$U$4</f>
        <v>1.0107938092750508</v>
      </c>
      <c r="I72" s="12">
        <f>Air_Properties!$Q$4*I65^4+Air_Properties!$R$4*I65^3+Air_Properties!$S$4*I65^2+Air_Properties!$T$4*I65+Air_Properties!$U$4</f>
        <v>1.0107898374312101</v>
      </c>
      <c r="J72" s="12">
        <f>Air_Properties!$Q$4*J65^4+Air_Properties!$R$4*J65^3+Air_Properties!$S$4*J65^2+Air_Properties!$T$4*J65+Air_Properties!$U$4</f>
        <v>1.0107898399678006</v>
      </c>
      <c r="K72" s="12">
        <f>Air_Properties!$Q$4*K65^4+Air_Properties!$R$4*K65^3+Air_Properties!$S$4*K65^2+Air_Properties!$T$4*K65+Air_Properties!$U$4</f>
        <v>1.0107898399661805</v>
      </c>
      <c r="M72" s="27"/>
      <c r="N72" s="43"/>
      <c r="O72" s="43"/>
      <c r="P72" s="43"/>
      <c r="Q72" s="43"/>
      <c r="R72" s="43"/>
    </row>
    <row r="73" spans="1:18" x14ac:dyDescent="0.25">
      <c r="A73" s="22"/>
      <c r="B73" t="s">
        <v>67</v>
      </c>
      <c r="E73" s="26" t="s">
        <v>68</v>
      </c>
      <c r="F73" t="s">
        <v>121</v>
      </c>
      <c r="G73" s="27">
        <f>(Air_Properties!$Q$28*G65^4+Air_Properties!$R$28*G65^3+Air_Properties!$S$28*G65^2+Air_Properties!$T$28*G65+Air_Properties!$U$28)/10^6</f>
        <v>2.2717310404072196E-5</v>
      </c>
      <c r="H73" s="27">
        <f>(Air_Properties!$Q$28*H65^4+Air_Properties!$R$28*H65^3+Air_Properties!$S$28*H65^2+Air_Properties!$T$28*H65+Air_Properties!$U$28)/10^6</f>
        <v>3.4498524547322429E-5</v>
      </c>
      <c r="I73" s="27">
        <f>(Air_Properties!$Q$28*I65^4+Air_Properties!$R$28*I65^3+Air_Properties!$S$28*I65^2+Air_Properties!$T$28*I65+Air_Properties!$U$28)/10^6</f>
        <v>3.4492672785988685E-5</v>
      </c>
      <c r="J73" s="27">
        <f>(Air_Properties!$Q$28*J65^4+Air_Properties!$R$28*J65^3+Air_Properties!$S$28*J65^2+Air_Properties!$T$28*J65+Air_Properties!$U$28)/10^6</f>
        <v>3.4492676523582354E-5</v>
      </c>
      <c r="K73" s="27">
        <f>(Air_Properties!$Q$28*K65^4+Air_Properties!$R$28*K65^3+Air_Properties!$S$28*K65^2+Air_Properties!$T$28*K65+Air_Properties!$U$28)/10^6</f>
        <v>3.4492676521195355E-5</v>
      </c>
      <c r="N73" s="30"/>
      <c r="O73" s="30"/>
      <c r="P73" s="30"/>
      <c r="Q73" s="30"/>
      <c r="R73" s="30"/>
    </row>
    <row r="74" spans="1:18" x14ac:dyDescent="0.25">
      <c r="A74" s="22"/>
      <c r="B74" t="s">
        <v>62</v>
      </c>
      <c r="E74" s="26" t="s">
        <v>63</v>
      </c>
      <c r="G74" s="30">
        <f>($E$7/1000)*$E$10/G71</f>
        <v>19370.933783655451</v>
      </c>
      <c r="H74" s="30">
        <f t="shared" ref="H74:K74" si="28">($E$7/1000)*$E$10/H71</f>
        <v>13084.109895368465</v>
      </c>
      <c r="I74" s="30">
        <f t="shared" si="28"/>
        <v>13086.228423869272</v>
      </c>
      <c r="J74" s="30">
        <f t="shared" si="28"/>
        <v>13086.227070524286</v>
      </c>
      <c r="K74" s="30">
        <f t="shared" si="28"/>
        <v>13086.227071388592</v>
      </c>
      <c r="N74" s="30"/>
      <c r="O74" s="30"/>
      <c r="P74" s="30"/>
      <c r="Q74" s="30"/>
      <c r="R74" s="30"/>
    </row>
    <row r="75" spans="1:18" x14ac:dyDescent="0.25">
      <c r="A75" s="22"/>
      <c r="B75" t="s">
        <v>112</v>
      </c>
      <c r="E75" s="26" t="s">
        <v>69</v>
      </c>
      <c r="G75" s="30">
        <f>9.81*G69*ABS(G61-$E$9)*($E$7/1000)^3/(G71*G73)</f>
        <v>62617.366670001706</v>
      </c>
      <c r="H75" s="30">
        <f t="shared" ref="H75:K75" si="29">9.81*H69*ABS(H61-$E$9)*($E$7/1000)^3/(H71*H73)</f>
        <v>3378022.083266791</v>
      </c>
      <c r="I75" s="30">
        <f t="shared" si="29"/>
        <v>3377897.1781194555</v>
      </c>
      <c r="J75" s="30">
        <f t="shared" si="29"/>
        <v>3377897.2580803698</v>
      </c>
      <c r="K75" s="30">
        <f t="shared" si="29"/>
        <v>3377897.2580293054</v>
      </c>
      <c r="N75" s="20"/>
      <c r="O75" s="20"/>
      <c r="P75" s="20"/>
      <c r="Q75" s="20"/>
      <c r="R75" s="20"/>
    </row>
    <row r="76" spans="1:18" x14ac:dyDescent="0.25">
      <c r="A76" s="22"/>
    </row>
    <row r="77" spans="1:18" x14ac:dyDescent="0.25">
      <c r="A77" s="22"/>
      <c r="B77" s="24" t="s">
        <v>116</v>
      </c>
    </row>
    <row r="78" spans="1:18" x14ac:dyDescent="0.25">
      <c r="A78" s="22"/>
      <c r="B78" t="s">
        <v>58</v>
      </c>
      <c r="E78" t="s">
        <v>117</v>
      </c>
      <c r="F78" t="s">
        <v>123</v>
      </c>
      <c r="G78" s="12">
        <f>0.00000005670373*$G$62*((G61+273.15)^4-($E$9+273.15)^4)/((G61+273.15)-($E$9+273.15))</f>
        <v>4.980498210943118</v>
      </c>
      <c r="H78" s="12">
        <f>0.00000005670373*$G$62*((H61+273.15)^4-($E$9+273.15)^4)/((H61+273.15)-($E$9+273.15))</f>
        <v>10.109836355236299</v>
      </c>
      <c r="I78" s="12">
        <f>0.00000005670373*$G$62*((I61+273.15)^4-($E$9+273.15)^4)/((I61+273.15)-($E$9+273.15))</f>
        <v>10.106735679068549</v>
      </c>
      <c r="J78" s="12">
        <f>0.00000005670373*$G$62*((J61+273.15)^4-($E$9+273.15)^4)/((J61+273.15)-($E$9+273.15))</f>
        <v>10.106737659329218</v>
      </c>
      <c r="K78" s="12">
        <f>0.00000005670373*$G$62*((K61+273.15)^4-($E$9+273.15)^4)/((K61+273.15)-($E$9+273.15))</f>
        <v>10.10673765806454</v>
      </c>
      <c r="N78" s="41"/>
      <c r="O78" s="41"/>
      <c r="P78" s="41"/>
      <c r="Q78" s="41"/>
      <c r="R78" s="41"/>
    </row>
    <row r="79" spans="1:18" x14ac:dyDescent="0.25">
      <c r="A79" s="22"/>
      <c r="B79" t="s">
        <v>59</v>
      </c>
    </row>
    <row r="80" spans="1:18" x14ac:dyDescent="0.25">
      <c r="A80" s="22"/>
      <c r="B80" t="s">
        <v>60</v>
      </c>
      <c r="E80" t="s">
        <v>61</v>
      </c>
      <c r="G80" s="20">
        <f>0.3+(0.62*G74^0.5*G68^(1/3))*(1+(G74/282000)^(5/8))^(4/5)/(1 + (0.4/G68)^(2/3))^(1/4)</f>
        <v>77.723937522804107</v>
      </c>
      <c r="H80" s="20">
        <f>0.3+(0.62*H74^0.5*H68^(1/3))*(1+(H74/282000)^(5/8))^(4/5)/(1 + (0.4/H68)^(2/3))^(1/4)</f>
        <v>61.67092162974415</v>
      </c>
      <c r="I80" s="20">
        <f t="shared" ref="I80:K80" si="30">0.3+(0.62*I74^0.5*I68^(1/3))*(1+(I74/282000)^(5/8))^(4/5)/(1 + (0.4/I68)^(2/3))^(1/4)</f>
        <v>61.676703658804207</v>
      </c>
      <c r="J80" s="20">
        <f t="shared" si="30"/>
        <v>61.676699965261371</v>
      </c>
      <c r="K80" s="20">
        <f t="shared" si="30"/>
        <v>61.676699967620237</v>
      </c>
      <c r="N80" s="25"/>
      <c r="O80" s="25"/>
      <c r="P80" s="25"/>
      <c r="Q80" s="25"/>
      <c r="R80" s="25"/>
    </row>
    <row r="81" spans="1:18" x14ac:dyDescent="0.25">
      <c r="A81" s="22"/>
      <c r="E81" t="s">
        <v>65</v>
      </c>
      <c r="F81" t="s">
        <v>123</v>
      </c>
      <c r="G81" s="12">
        <f>G80*G66/($E$7/1000)</f>
        <v>23.069630079936982</v>
      </c>
      <c r="H81" s="12">
        <f t="shared" ref="H81:K81" si="31">H80*H66/($E$7/1000)</f>
        <v>22.301254249552564</v>
      </c>
      <c r="I81" s="12">
        <f t="shared" si="31"/>
        <v>22.301552091869333</v>
      </c>
      <c r="J81" s="12">
        <f t="shared" si="31"/>
        <v>22.30155190161495</v>
      </c>
      <c r="K81" s="12">
        <f t="shared" si="31"/>
        <v>22.301551901736463</v>
      </c>
      <c r="N81" s="25"/>
      <c r="O81" s="25"/>
      <c r="P81" s="25"/>
      <c r="Q81" s="25"/>
      <c r="R81" s="25"/>
    </row>
    <row r="82" spans="1:18" x14ac:dyDescent="0.25">
      <c r="A82" s="22"/>
      <c r="B82" t="s">
        <v>66</v>
      </c>
      <c r="E82" t="s">
        <v>70</v>
      </c>
      <c r="G82" s="12">
        <f>(0.6 + 0.387*G75^(1/6)/( 1 +(0.559/G68)^(9/16))^(8/27))^2</f>
        <v>6.8846667566586035</v>
      </c>
      <c r="H82" s="12">
        <f t="shared" ref="H82:K82" si="32">(0.6 + 0.387*H75^(1/6)/( 1 +(0.559/H68)^(9/16))^(8/27))^2</f>
        <v>20.500914266372099</v>
      </c>
      <c r="I82" s="12">
        <f t="shared" si="32"/>
        <v>20.500715177262368</v>
      </c>
      <c r="J82" s="12">
        <f t="shared" si="32"/>
        <v>20.500715304742975</v>
      </c>
      <c r="K82" s="12">
        <f t="shared" si="32"/>
        <v>20.500715304661554</v>
      </c>
      <c r="N82" s="28"/>
      <c r="O82" s="28"/>
      <c r="P82" s="28"/>
      <c r="Q82" s="28"/>
      <c r="R82" s="28"/>
    </row>
    <row r="83" spans="1:18" x14ac:dyDescent="0.25">
      <c r="A83" s="22"/>
      <c r="E83" t="s">
        <v>71</v>
      </c>
      <c r="F83" t="s">
        <v>123</v>
      </c>
      <c r="G83" s="12">
        <f>G82*G66/($E$7/1000)</f>
        <v>2.043472324766793</v>
      </c>
      <c r="H83" s="12">
        <f t="shared" ref="H83:K83" si="33">H82*H66/($E$7/1000)</f>
        <v>7.4134793079229082</v>
      </c>
      <c r="I83" s="12">
        <f t="shared" si="33"/>
        <v>7.4128113262263984</v>
      </c>
      <c r="J83" s="12">
        <f t="shared" si="33"/>
        <v>7.4128117530034583</v>
      </c>
      <c r="K83" s="12">
        <f t="shared" si="33"/>
        <v>7.4128117527308977</v>
      </c>
      <c r="N83" s="28"/>
      <c r="O83" s="28"/>
      <c r="P83" s="28"/>
      <c r="Q83" s="28"/>
      <c r="R83" s="28"/>
    </row>
    <row r="84" spans="1:18" x14ac:dyDescent="0.25">
      <c r="A84" s="22"/>
      <c r="B84" t="s">
        <v>72</v>
      </c>
      <c r="E84" t="s">
        <v>73</v>
      </c>
      <c r="G84" s="20">
        <f>(G80^4+G82^4)^(1/4)</f>
        <v>77.725133704893778</v>
      </c>
      <c r="H84" s="20">
        <f t="shared" ref="H84:K84" si="34">(H80^4+H82^4)^(1/4)</f>
        <v>61.858340094568661</v>
      </c>
      <c r="I84" s="20">
        <f t="shared" si="34"/>
        <v>61.864062492107536</v>
      </c>
      <c r="J84" s="20">
        <f t="shared" si="34"/>
        <v>61.864058836660611</v>
      </c>
      <c r="K84" s="20">
        <f t="shared" si="34"/>
        <v>61.86405883899517</v>
      </c>
      <c r="N84" s="20"/>
      <c r="O84" s="20"/>
      <c r="P84" s="20"/>
      <c r="Q84" s="20"/>
      <c r="R84" s="20"/>
    </row>
    <row r="85" spans="1:18" x14ac:dyDescent="0.25">
      <c r="A85" s="22"/>
      <c r="E85" t="s">
        <v>74</v>
      </c>
      <c r="F85" t="s">
        <v>123</v>
      </c>
      <c r="G85" s="12">
        <f>G84*G66/($E$7/1000)</f>
        <v>23.069985124717221</v>
      </c>
      <c r="H85" s="12">
        <f t="shared" ref="H85:K85" si="35">H84*H66/($E$7/1000)</f>
        <v>22.369027954317442</v>
      </c>
      <c r="I85" s="12">
        <f t="shared" si="35"/>
        <v>22.369298786049047</v>
      </c>
      <c r="J85" s="12">
        <f t="shared" si="35"/>
        <v>22.369298613048791</v>
      </c>
      <c r="K85" s="12">
        <f t="shared" si="35"/>
        <v>22.369298613159295</v>
      </c>
      <c r="N85" s="12"/>
      <c r="O85" s="12"/>
      <c r="P85" s="12"/>
      <c r="Q85" s="12"/>
      <c r="R85" s="12"/>
    </row>
    <row r="86" spans="1:18" x14ac:dyDescent="0.25">
      <c r="A86" s="22"/>
      <c r="B86" t="s">
        <v>75</v>
      </c>
      <c r="E86" t="s">
        <v>76</v>
      </c>
      <c r="F86" t="s">
        <v>123</v>
      </c>
      <c r="G86" s="12">
        <f>G85+G78</f>
        <v>28.050483335660338</v>
      </c>
      <c r="H86" s="12">
        <f t="shared" ref="H86:K86" si="36">H85+H78</f>
        <v>32.478864309553742</v>
      </c>
      <c r="I86" s="12">
        <f t="shared" si="36"/>
        <v>32.476034465117593</v>
      </c>
      <c r="J86" s="12">
        <f t="shared" si="36"/>
        <v>32.47603627237801</v>
      </c>
      <c r="K86" s="12">
        <f t="shared" si="36"/>
        <v>32.476036271223833</v>
      </c>
      <c r="N86" s="28"/>
      <c r="O86" s="28"/>
      <c r="P86" s="28"/>
      <c r="Q86" s="28"/>
      <c r="R86" s="28"/>
    </row>
    <row r="87" spans="1:18" x14ac:dyDescent="0.25">
      <c r="A87" s="22"/>
      <c r="B87" s="24" t="s">
        <v>88</v>
      </c>
      <c r="G87" s="12"/>
      <c r="H87" s="12"/>
      <c r="I87" s="12"/>
      <c r="J87" s="12"/>
      <c r="K87" s="12"/>
    </row>
    <row r="88" spans="1:18" x14ac:dyDescent="0.25">
      <c r="A88" s="22"/>
      <c r="B88" t="s">
        <v>89</v>
      </c>
      <c r="E88" t="s">
        <v>90</v>
      </c>
      <c r="F88" t="s">
        <v>45</v>
      </c>
      <c r="G88" s="12">
        <f>Properties!$G$9*($E$8+273.15)^3+Properties!$H$9*($E$8+273.15)^2+Properties!$I$9*($E$8+273.15)+Properties!$J$9</f>
        <v>56.04544594089765</v>
      </c>
      <c r="H88" s="12">
        <f>Properties!$G$9*($E$8+273.15)^3+Properties!$H$9*($E$8+273.15)^2+Properties!$I$9*($E$8+273.15)+Properties!$J$9</f>
        <v>56.04544594089765</v>
      </c>
      <c r="I88" s="12">
        <f>Properties!$G$9*($E$8+273.15)^3+Properties!$H$9*($E$8+273.15)^2+Properties!$I$9*($E$8+273.15)+Properties!$J$9</f>
        <v>56.04544594089765</v>
      </c>
      <c r="J88" s="12">
        <f>Properties!$G$9*($E$8+273.15)^3+Properties!$H$9*($E$8+273.15)^2+Properties!$I$9*($E$8+273.15)+Properties!$J$9</f>
        <v>56.04544594089765</v>
      </c>
      <c r="K88" s="12">
        <f>Properties!$G$9*($E$8+273.15)^3+Properties!$H$9*($E$8+273.15)^2+Properties!$I$9*($E$8+273.15)+Properties!$J$9</f>
        <v>56.04544594089765</v>
      </c>
      <c r="N88" s="12"/>
      <c r="O88" s="12"/>
      <c r="P88" s="12"/>
      <c r="Q88" s="12"/>
      <c r="R88" s="12"/>
    </row>
    <row r="89" spans="1:18" x14ac:dyDescent="0.25">
      <c r="A89" s="22"/>
      <c r="B89" t="s">
        <v>91</v>
      </c>
      <c r="E89" t="s">
        <v>92</v>
      </c>
      <c r="F89" t="s">
        <v>124</v>
      </c>
      <c r="G89" s="28">
        <f>($E$7/1000)*LN($E$7/$E$6)/(2*G88)</f>
        <v>1.0448152083572545E-4</v>
      </c>
      <c r="H89" s="28">
        <f t="shared" ref="H89:K89" si="37">($E$7/1000)*LN($E$7/$E$6)/(2*H88)</f>
        <v>1.0448152083572545E-4</v>
      </c>
      <c r="I89" s="28">
        <f t="shared" si="37"/>
        <v>1.0448152083572545E-4</v>
      </c>
      <c r="J89" s="28">
        <f t="shared" si="37"/>
        <v>1.0448152083572545E-4</v>
      </c>
      <c r="K89" s="28">
        <f t="shared" si="37"/>
        <v>1.0448152083572545E-4</v>
      </c>
      <c r="N89" s="42"/>
      <c r="O89" s="42"/>
      <c r="P89" s="42"/>
      <c r="Q89" s="42"/>
      <c r="R89" s="42"/>
    </row>
    <row r="90" spans="1:18" x14ac:dyDescent="0.25">
      <c r="A90" s="22"/>
      <c r="B90" s="24" t="s">
        <v>99</v>
      </c>
      <c r="E90" t="s">
        <v>100</v>
      </c>
      <c r="F90" t="s">
        <v>124</v>
      </c>
      <c r="G90" s="2">
        <f>G89+1/G86</f>
        <v>3.5754491113672529E-2</v>
      </c>
      <c r="H90" s="2">
        <f t="shared" ref="H90:K90" si="38">H89+1/H86</f>
        <v>3.0893735432828189E-2</v>
      </c>
      <c r="I90" s="2">
        <f t="shared" si="38"/>
        <v>3.089641829729459E-2</v>
      </c>
      <c r="J90" s="2">
        <f t="shared" si="38"/>
        <v>3.0896416583752702E-2</v>
      </c>
      <c r="K90" s="2">
        <f t="shared" si="38"/>
        <v>3.0896416584847028E-2</v>
      </c>
      <c r="N90" s="28"/>
      <c r="O90" s="28"/>
      <c r="P90" s="28"/>
      <c r="Q90" s="28"/>
      <c r="R90" s="28"/>
    </row>
    <row r="91" spans="1:18" x14ac:dyDescent="0.25">
      <c r="A91" s="22"/>
      <c r="B91" t="s">
        <v>77</v>
      </c>
      <c r="E91" t="s">
        <v>78</v>
      </c>
      <c r="F91" t="s">
        <v>125</v>
      </c>
      <c r="G91" s="12">
        <f>($E$8-$E$9)/G90</f>
        <v>4251.2141905964691</v>
      </c>
      <c r="H91" s="12">
        <f t="shared" ref="H91:K91" si="39">($E$8-$E$9)/H90</f>
        <v>4920.091334713843</v>
      </c>
      <c r="I91" s="12">
        <f t="shared" si="39"/>
        <v>4919.6641027257747</v>
      </c>
      <c r="J91" s="12">
        <f t="shared" si="39"/>
        <v>4919.6643755745854</v>
      </c>
      <c r="K91" s="12">
        <f t="shared" si="39"/>
        <v>4919.6643754003344</v>
      </c>
      <c r="N91" s="12"/>
      <c r="O91" s="12"/>
      <c r="P91" s="12"/>
      <c r="Q91" s="12"/>
      <c r="R91" s="12"/>
    </row>
    <row r="92" spans="1:18" x14ac:dyDescent="0.25">
      <c r="A92" s="22"/>
      <c r="B92" t="s">
        <v>40</v>
      </c>
      <c r="E92" t="s">
        <v>101</v>
      </c>
      <c r="F92" t="s">
        <v>118</v>
      </c>
      <c r="G92" s="20">
        <f>$E$8 - G91*G89</f>
        <v>179.55582667596806</v>
      </c>
      <c r="H92" s="20">
        <f t="shared" ref="H92:K92" si="40">$E$8 - H91*H89</f>
        <v>179.48594137469843</v>
      </c>
      <c r="I92" s="20">
        <f t="shared" si="40"/>
        <v>179.48598601254628</v>
      </c>
      <c r="J92" s="20">
        <f t="shared" si="40"/>
        <v>179.48598598403862</v>
      </c>
      <c r="K92" s="20">
        <f t="shared" si="40"/>
        <v>179.48598598405684</v>
      </c>
      <c r="N92" s="2"/>
      <c r="O92" s="2"/>
      <c r="P92" s="2"/>
      <c r="Q92" s="2"/>
      <c r="R92" s="2"/>
    </row>
    <row r="93" spans="1:18" x14ac:dyDescent="0.25">
      <c r="A93" s="22"/>
      <c r="B93" t="s">
        <v>109</v>
      </c>
      <c r="F93" t="s">
        <v>108</v>
      </c>
      <c r="G93" s="12">
        <f>G91*PI()*($E$7/1000)</f>
        <v>1187.3113527042931</v>
      </c>
      <c r="H93" s="12">
        <f t="shared" ref="H93:K93" si="41">H91*PI()*($E$7/1000)</f>
        <v>1374.120436220162</v>
      </c>
      <c r="I93" s="12">
        <f t="shared" si="41"/>
        <v>1374.0011156291662</v>
      </c>
      <c r="J93" s="12">
        <f t="shared" si="41"/>
        <v>1374.0011918324522</v>
      </c>
      <c r="K93" s="12">
        <f t="shared" si="41"/>
        <v>1374.001191783786</v>
      </c>
      <c r="N93" s="12"/>
      <c r="O93" s="12"/>
      <c r="P93" s="12"/>
      <c r="Q93" s="12"/>
      <c r="R93" s="12"/>
    </row>
  </sheetData>
  <mergeCells count="1">
    <mergeCell ref="B2:J2"/>
  </mergeCells>
  <hyperlinks>
    <hyperlink ref="B3" r:id="rId1"/>
  </hyperlinks>
  <pageMargins left="0.23622047244094491" right="0.23622047244094491" top="0.74803149606299213" bottom="0.74803149606299213" header="0.31496062992125984" footer="0.31496062992125984"/>
  <pageSetup paperSize="9" scale="85" orientation="portrait" horizontalDpi="4294967293" verticalDpi="4294967293" r:id="rId2"/>
  <rowBreaks count="1" manualBreakCount="1">
    <brk id="57" max="10" man="1"/>
  </rowBreaks>
  <colBreaks count="1" manualBreakCount="1">
    <brk id="1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Normal="100" workbookViewId="0"/>
  </sheetViews>
  <sheetFormatPr defaultRowHeight="15" x14ac:dyDescent="0.25"/>
  <cols>
    <col min="1" max="1" width="4.140625" customWidth="1"/>
    <col min="8" max="8" width="8" customWidth="1"/>
    <col min="9" max="9" width="4.28515625" customWidth="1"/>
    <col min="10" max="10" width="9.140625" customWidth="1"/>
    <col min="11" max="11" width="11.7109375" bestFit="1" customWidth="1"/>
    <col min="12" max="13" width="12.140625" bestFit="1" customWidth="1"/>
    <col min="14" max="15" width="9.42578125" bestFit="1" customWidth="1"/>
    <col min="16" max="16" width="5.42578125" customWidth="1"/>
    <col min="17" max="17" width="14.7109375" bestFit="1" customWidth="1"/>
    <col min="18" max="18" width="15.42578125" bestFit="1" customWidth="1"/>
    <col min="19" max="20" width="14.7109375" bestFit="1" customWidth="1"/>
    <col min="21" max="21" width="11.85546875" bestFit="1" customWidth="1"/>
    <col min="23" max="23" width="9.28515625" bestFit="1" customWidth="1"/>
    <col min="24" max="24" width="12.7109375" bestFit="1" customWidth="1"/>
    <col min="25" max="25" width="12" bestFit="1" customWidth="1"/>
    <col min="26" max="27" width="9.28515625" bestFit="1" customWidth="1"/>
  </cols>
  <sheetData>
    <row r="1" spans="1:27" x14ac:dyDescent="0.25">
      <c r="A1" s="1"/>
      <c r="B1" s="2"/>
      <c r="C1" s="2"/>
      <c r="D1" s="2"/>
      <c r="E1" s="2"/>
      <c r="F1" s="2"/>
      <c r="G1" s="2"/>
      <c r="H1" s="3"/>
      <c r="Q1" s="51" t="s">
        <v>18</v>
      </c>
      <c r="R1" s="51"/>
      <c r="S1" s="51"/>
      <c r="T1" s="51"/>
      <c r="U1" s="51"/>
    </row>
    <row r="2" spans="1:27" ht="18.75" x14ac:dyDescent="0.25">
      <c r="A2" s="4"/>
      <c r="B2" s="49" t="s">
        <v>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Q2" s="23" t="s">
        <v>19</v>
      </c>
      <c r="W2" s="18"/>
    </row>
    <row r="3" spans="1:27" x14ac:dyDescent="0.25">
      <c r="A3" s="5"/>
      <c r="B3" s="48" t="s">
        <v>133</v>
      </c>
      <c r="C3" s="6"/>
      <c r="D3" s="6"/>
      <c r="E3" s="6"/>
      <c r="M3" s="7" t="s">
        <v>0</v>
      </c>
      <c r="N3" s="8" t="s">
        <v>135</v>
      </c>
      <c r="O3" s="9"/>
      <c r="Q3" t="s">
        <v>25</v>
      </c>
      <c r="R3" t="s">
        <v>26</v>
      </c>
      <c r="S3" t="s">
        <v>27</v>
      </c>
      <c r="T3" t="s">
        <v>29</v>
      </c>
      <c r="U3" s="17" t="s">
        <v>28</v>
      </c>
      <c r="AA3" s="17"/>
    </row>
    <row r="4" spans="1:27" x14ac:dyDescent="0.25">
      <c r="A4" s="5"/>
      <c r="B4" s="10" t="s">
        <v>134</v>
      </c>
      <c r="C4" s="6"/>
      <c r="D4" s="6"/>
      <c r="E4" s="6"/>
      <c r="M4" s="7" t="s">
        <v>1</v>
      </c>
      <c r="N4" s="11" t="s">
        <v>136</v>
      </c>
      <c r="O4" s="11"/>
      <c r="Q4">
        <f t="array" ref="Q4:U6">LINEST(C9:C27,B9:B27^{1,2,3,4},TRUE,TRUE)</f>
        <v>3.0372373621801462E-13</v>
      </c>
      <c r="R4">
        <v>-1.1131995687117516E-9</v>
      </c>
      <c r="S4">
        <v>1.4438227340031111E-6</v>
      </c>
      <c r="T4">
        <v>-5.6533877610402195E-4</v>
      </c>
      <c r="U4">
        <v>1.0722383900928794</v>
      </c>
    </row>
    <row r="5" spans="1:27" x14ac:dyDescent="0.25">
      <c r="Q5">
        <v>1.0101369092938971E-13</v>
      </c>
      <c r="R5">
        <v>2.2348378890550622E-10</v>
      </c>
      <c r="S5">
        <v>1.6870590590906647E-7</v>
      </c>
      <c r="T5">
        <v>4.9894249012810751E-5</v>
      </c>
      <c r="U5">
        <v>4.6703615120748517E-3</v>
      </c>
    </row>
    <row r="6" spans="1:27" x14ac:dyDescent="0.25">
      <c r="C6" s="50" t="s">
        <v>17</v>
      </c>
      <c r="D6" s="50"/>
      <c r="E6" s="50"/>
      <c r="F6" s="50"/>
      <c r="G6" s="50"/>
      <c r="H6" s="50"/>
      <c r="J6" s="50" t="s">
        <v>16</v>
      </c>
      <c r="K6" s="50"/>
      <c r="L6" s="50"/>
      <c r="M6" s="50"/>
      <c r="N6" s="50"/>
      <c r="O6" s="50"/>
      <c r="Q6">
        <v>0.99904221298497753</v>
      </c>
      <c r="R6">
        <v>1.6371331436087757E-3</v>
      </c>
      <c r="S6" t="e">
        <v>#N/A</v>
      </c>
      <c r="T6" t="e">
        <v>#N/A</v>
      </c>
      <c r="U6" t="e">
        <v>#N/A</v>
      </c>
    </row>
    <row r="7" spans="1:27" x14ac:dyDescent="0.25">
      <c r="B7" s="13" t="s">
        <v>3</v>
      </c>
      <c r="C7" s="13" t="s">
        <v>4</v>
      </c>
      <c r="D7" s="13" t="s">
        <v>14</v>
      </c>
      <c r="E7" s="13" t="s">
        <v>13</v>
      </c>
      <c r="F7" s="13" t="s">
        <v>5</v>
      </c>
      <c r="G7" s="13" t="s">
        <v>12</v>
      </c>
      <c r="H7" s="13" t="s">
        <v>6</v>
      </c>
      <c r="I7" s="29"/>
      <c r="J7" s="13" t="s">
        <v>4</v>
      </c>
      <c r="K7" s="13" t="s">
        <v>14</v>
      </c>
      <c r="L7" s="13" t="s">
        <v>13</v>
      </c>
      <c r="M7" s="13" t="s">
        <v>5</v>
      </c>
      <c r="N7" s="13" t="s">
        <v>12</v>
      </c>
      <c r="O7" s="13" t="s">
        <v>6</v>
      </c>
      <c r="P7" s="29"/>
    </row>
    <row r="8" spans="1:27" x14ac:dyDescent="0.25"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10</v>
      </c>
      <c r="H8" s="13"/>
      <c r="I8" s="13"/>
      <c r="J8" s="13" t="s">
        <v>8</v>
      </c>
      <c r="K8" s="13" t="s">
        <v>9</v>
      </c>
      <c r="L8" s="13" t="s">
        <v>10</v>
      </c>
      <c r="M8" s="13" t="s">
        <v>11</v>
      </c>
      <c r="N8" s="13" t="s">
        <v>10</v>
      </c>
      <c r="O8" s="13"/>
      <c r="P8" s="13"/>
      <c r="Q8" s="24" t="s">
        <v>20</v>
      </c>
    </row>
    <row r="9" spans="1:27" x14ac:dyDescent="0.25">
      <c r="B9" s="13">
        <v>100</v>
      </c>
      <c r="C9" s="15">
        <v>1.032</v>
      </c>
      <c r="D9" s="13">
        <v>71.099999999999994</v>
      </c>
      <c r="E9" s="14">
        <v>2</v>
      </c>
      <c r="F9" s="14">
        <v>9.34</v>
      </c>
      <c r="G9" s="14">
        <v>2.54</v>
      </c>
      <c r="H9" s="15">
        <v>0.78600000000000003</v>
      </c>
      <c r="I9" s="2"/>
      <c r="J9" s="2">
        <f t="shared" ref="J9:J27" si="0">$Q$4*B9^4+$R$4*B9^3+$S$4*B9^2+$T$4*B9+$U$4</f>
        <v>1.0290599126274182</v>
      </c>
      <c r="K9" s="20">
        <f t="shared" ref="K9:K27" si="1">$Q$10*B9^4+$R$10*B9^3+$S$10*B9^2+$T$10*B9+$U$10</f>
        <v>71.180195548158878</v>
      </c>
      <c r="L9" s="12">
        <f t="shared" ref="L9:L27" si="2">$Q$16*B9^4+$R$16*B9^3+$S$16*B9^2+$T$16*B9+$U$16</f>
        <v>1.948425213230669</v>
      </c>
      <c r="M9" s="12">
        <f t="shared" ref="M9:M27" si="3">$Q$22*B9^4+$R$22*B9^3+$S$22*B9^2+$T$22*B9+$U$22</f>
        <v>9.3968629082587825</v>
      </c>
      <c r="N9" s="12">
        <f t="shared" ref="N9:N27" si="4">$Q$28*B9^4+$R$28*B9^3+$S$28*B9^2+$T$28*B9+$U$28</f>
        <v>2.7587310172664941</v>
      </c>
      <c r="O9" s="2">
        <f t="shared" ref="O9:O27" si="5">$Q$34*B9^4+$R$34*B9^3+$S$34*B9^2+$T$34*B9+$U$34</f>
        <v>0.78428874557936368</v>
      </c>
      <c r="P9" s="2"/>
      <c r="Q9" t="s">
        <v>25</v>
      </c>
      <c r="R9" t="s">
        <v>26</v>
      </c>
      <c r="S9" t="s">
        <v>27</v>
      </c>
      <c r="T9" t="s">
        <v>29</v>
      </c>
      <c r="U9" s="17" t="s">
        <v>28</v>
      </c>
    </row>
    <row r="10" spans="1:27" x14ac:dyDescent="0.25">
      <c r="B10" s="13">
        <v>150</v>
      </c>
      <c r="C10" s="15">
        <v>1.012</v>
      </c>
      <c r="D10" s="13">
        <v>103.4</v>
      </c>
      <c r="E10" s="14">
        <v>4.4260000000000002</v>
      </c>
      <c r="F10" s="14">
        <v>13.8</v>
      </c>
      <c r="G10" s="14">
        <v>5.84</v>
      </c>
      <c r="H10" s="15">
        <v>0.75800000000000001</v>
      </c>
      <c r="I10" s="2"/>
      <c r="J10" s="2">
        <f t="shared" si="0"/>
        <v>1.0163202967894043</v>
      </c>
      <c r="K10" s="20">
        <f t="shared" si="1"/>
        <v>103.1638166562652</v>
      </c>
      <c r="L10" s="12">
        <f t="shared" si="2"/>
        <v>4.450256847652688</v>
      </c>
      <c r="M10" s="12">
        <f t="shared" si="3"/>
        <v>13.770279453574641</v>
      </c>
      <c r="N10" s="12">
        <f t="shared" si="4"/>
        <v>5.694165453158571</v>
      </c>
      <c r="O10" s="2">
        <f t="shared" si="5"/>
        <v>0.7594405381041538</v>
      </c>
      <c r="P10" s="2"/>
      <c r="Q10" s="19">
        <f t="array" ref="Q10:U12">LINEST(D9:D27,B9:B27^{1,2,3,4},TRUE,TRUE)</f>
        <v>-1.5858001199232249E-10</v>
      </c>
      <c r="R10" s="19">
        <v>5.115022890093732E-7</v>
      </c>
      <c r="S10" s="19">
        <v>-7.2456743025899083E-4</v>
      </c>
      <c r="T10" s="19">
        <v>0.79780638359636646</v>
      </c>
      <c r="U10" s="19">
        <v>-1.8504127966980022</v>
      </c>
    </row>
    <row r="11" spans="1:27" x14ac:dyDescent="0.25">
      <c r="B11" s="13">
        <v>200</v>
      </c>
      <c r="C11" s="15">
        <v>1.0069999999999999</v>
      </c>
      <c r="D11" s="13">
        <v>132.5</v>
      </c>
      <c r="E11" s="14">
        <v>7.59</v>
      </c>
      <c r="F11" s="14">
        <v>18.100000000000001</v>
      </c>
      <c r="G11" s="14">
        <v>10.3</v>
      </c>
      <c r="H11" s="15">
        <v>0.73699999999999999</v>
      </c>
      <c r="I11" s="2"/>
      <c r="J11" s="2">
        <f t="shared" si="0"/>
        <v>1.0085039056604541</v>
      </c>
      <c r="K11" s="20">
        <f t="shared" si="1"/>
        <v>132.5664570051029</v>
      </c>
      <c r="L11" s="12">
        <f t="shared" si="2"/>
        <v>7.6437606921278602</v>
      </c>
      <c r="M11" s="12">
        <f t="shared" si="3"/>
        <v>18.055626802416402</v>
      </c>
      <c r="N11" s="12">
        <f t="shared" si="4"/>
        <v>10.098893770114632</v>
      </c>
      <c r="O11" s="2">
        <f t="shared" si="5"/>
        <v>0.73841327394282041</v>
      </c>
      <c r="P11" s="2"/>
      <c r="Q11">
        <v>1.0541834453440922E-11</v>
      </c>
      <c r="R11">
        <v>2.3322869246668932E-8</v>
      </c>
      <c r="S11">
        <v>1.7606224612209644E-5</v>
      </c>
      <c r="T11">
        <v>5.2069863840484348E-3</v>
      </c>
      <c r="U11">
        <v>0.48740103885947411</v>
      </c>
    </row>
    <row r="12" spans="1:27" x14ac:dyDescent="0.25">
      <c r="B12" s="13">
        <v>250</v>
      </c>
      <c r="C12" s="15">
        <v>1.006</v>
      </c>
      <c r="D12" s="13">
        <v>159.6</v>
      </c>
      <c r="E12" s="14">
        <v>11.44</v>
      </c>
      <c r="F12" s="14">
        <v>22.3</v>
      </c>
      <c r="G12" s="14">
        <v>15.9</v>
      </c>
      <c r="H12" s="15">
        <v>0.72</v>
      </c>
      <c r="I12" s="2"/>
      <c r="J12" s="2">
        <f t="shared" si="0"/>
        <v>1.0049352945255488</v>
      </c>
      <c r="K12" s="20">
        <f t="shared" si="1"/>
        <v>159.68848880513312</v>
      </c>
      <c r="L12" s="12">
        <f t="shared" si="2"/>
        <v>11.478387013220061</v>
      </c>
      <c r="M12" s="12">
        <f t="shared" si="3"/>
        <v>22.225289508355864</v>
      </c>
      <c r="N12" s="12">
        <f t="shared" si="4"/>
        <v>15.758648743458242</v>
      </c>
      <c r="O12" s="2">
        <f t="shared" si="5"/>
        <v>0.72108456417724165</v>
      </c>
      <c r="P12" s="2"/>
      <c r="Q12">
        <v>0.99999806017817594</v>
      </c>
      <c r="R12">
        <v>0.17085195501101869</v>
      </c>
      <c r="S12" t="e">
        <v>#N/A</v>
      </c>
      <c r="T12" t="e">
        <v>#N/A</v>
      </c>
      <c r="U12" t="e">
        <v>#N/A</v>
      </c>
    </row>
    <row r="13" spans="1:27" x14ac:dyDescent="0.25">
      <c r="B13" s="13">
        <v>300</v>
      </c>
      <c r="C13" s="15">
        <v>1.0069999999999999</v>
      </c>
      <c r="D13" s="13">
        <v>184.6</v>
      </c>
      <c r="E13" s="14">
        <v>15.89</v>
      </c>
      <c r="F13" s="14">
        <v>26.3</v>
      </c>
      <c r="G13" s="14">
        <v>22.5</v>
      </c>
      <c r="H13" s="15">
        <v>0.70699999999999996</v>
      </c>
      <c r="I13" s="2"/>
      <c r="J13" s="2">
        <f t="shared" si="0"/>
        <v>1.0049845772301014</v>
      </c>
      <c r="K13" s="20">
        <f t="shared" si="1"/>
        <v>184.80649726501804</v>
      </c>
      <c r="L13" s="12">
        <f t="shared" si="2"/>
        <v>15.906973857568786</v>
      </c>
      <c r="M13" s="12">
        <f t="shared" si="3"/>
        <v>26.256409770065705</v>
      </c>
      <c r="N13" s="12">
        <f t="shared" si="4"/>
        <v>22.479498443854318</v>
      </c>
      <c r="O13" s="2">
        <f t="shared" si="5"/>
        <v>0.70730075421056726</v>
      </c>
      <c r="P13" s="2"/>
    </row>
    <row r="14" spans="1:27" x14ac:dyDescent="0.25">
      <c r="B14" s="13">
        <v>350</v>
      </c>
      <c r="C14" s="15">
        <v>1.0089999999999999</v>
      </c>
      <c r="D14" s="13">
        <v>208.2</v>
      </c>
      <c r="E14" s="14">
        <v>20.92</v>
      </c>
      <c r="F14" s="14">
        <v>30</v>
      </c>
      <c r="G14" s="14">
        <v>29.9</v>
      </c>
      <c r="H14" s="15">
        <v>0.7</v>
      </c>
      <c r="I14" s="2"/>
      <c r="J14" s="2">
        <f t="shared" si="0"/>
        <v>1.008067426179958</v>
      </c>
      <c r="K14" s="20">
        <f t="shared" si="1"/>
        <v>208.17328059162099</v>
      </c>
      <c r="L14" s="12">
        <f t="shared" si="2"/>
        <v>20.885747051889165</v>
      </c>
      <c r="M14" s="12">
        <f t="shared" si="3"/>
        <v>30.130887431319515</v>
      </c>
      <c r="N14" s="12">
        <f t="shared" si="4"/>
        <v>30.08784623730913</v>
      </c>
      <c r="O14" s="2">
        <f t="shared" si="5"/>
        <v>0.69687692376721877</v>
      </c>
      <c r="P14" s="2"/>
      <c r="Q14" s="24" t="s">
        <v>21</v>
      </c>
    </row>
    <row r="15" spans="1:27" x14ac:dyDescent="0.25">
      <c r="B15" s="13">
        <v>400</v>
      </c>
      <c r="C15" s="15">
        <v>1.014</v>
      </c>
      <c r="D15" s="13">
        <v>230.1</v>
      </c>
      <c r="E15" s="14">
        <v>26.41</v>
      </c>
      <c r="F15" s="14">
        <v>33.799999999999997</v>
      </c>
      <c r="G15" s="14">
        <v>38.299999999999997</v>
      </c>
      <c r="H15" s="15">
        <v>0.69</v>
      </c>
      <c r="I15" s="2"/>
      <c r="J15" s="2">
        <f t="shared" si="0"/>
        <v>1.0136450723413974</v>
      </c>
      <c r="K15" s="20">
        <f t="shared" si="1"/>
        <v>230.01784999000645</v>
      </c>
      <c r="L15" s="12">
        <f t="shared" si="2"/>
        <v>26.374320202971948</v>
      </c>
      <c r="M15" s="12">
        <f t="shared" si="3"/>
        <v>33.83537998099176</v>
      </c>
      <c r="N15" s="12">
        <f t="shared" si="4"/>
        <v>38.430430785170309</v>
      </c>
      <c r="O15" s="2">
        <f t="shared" si="5"/>
        <v>0.68959688689288923</v>
      </c>
      <c r="P15" s="2"/>
      <c r="Q15" t="s">
        <v>25</v>
      </c>
      <c r="R15" t="s">
        <v>26</v>
      </c>
      <c r="S15" t="s">
        <v>27</v>
      </c>
      <c r="T15" t="s">
        <v>29</v>
      </c>
      <c r="U15" s="17" t="s">
        <v>28</v>
      </c>
    </row>
    <row r="16" spans="1:27" x14ac:dyDescent="0.25">
      <c r="B16" s="13">
        <v>450</v>
      </c>
      <c r="C16" s="15">
        <v>1.0209999999999999</v>
      </c>
      <c r="D16" s="13">
        <v>250.7</v>
      </c>
      <c r="E16" s="14">
        <v>32.39</v>
      </c>
      <c r="F16" s="14">
        <v>37.299999999999997</v>
      </c>
      <c r="G16" s="14">
        <v>47.2</v>
      </c>
      <c r="H16" s="15">
        <v>0.68600000000000005</v>
      </c>
      <c r="I16" s="2"/>
      <c r="J16" s="2">
        <f t="shared" si="0"/>
        <v>1.0212243052411312</v>
      </c>
      <c r="K16" s="20">
        <f t="shared" si="1"/>
        <v>250.54542966344019</v>
      </c>
      <c r="L16" s="12">
        <f t="shared" si="2"/>
        <v>32.335694697683508</v>
      </c>
      <c r="M16" s="12">
        <f t="shared" si="3"/>
        <v>37.361302553057826</v>
      </c>
      <c r="N16" s="12">
        <f t="shared" si="4"/>
        <v>47.374326044126825</v>
      </c>
      <c r="O16" s="2">
        <f t="shared" si="5"/>
        <v>0.68521319195454367</v>
      </c>
      <c r="P16" s="2"/>
      <c r="Q16">
        <f t="array" ref="Q16:U18">LINEST(E9:E27,B9:B27^{1,2,3,4},TRUE,TRUE)</f>
        <v>2.2585200504167324E-11</v>
      </c>
      <c r="R16">
        <v>-8.3209284934417669E-8</v>
      </c>
      <c r="S16">
        <v>1.7267315516179553E-4</v>
      </c>
      <c r="T16">
        <v>1.0637280178279989E-2</v>
      </c>
      <c r="U16">
        <v>-0.76108359133128456</v>
      </c>
    </row>
    <row r="17" spans="2:21" x14ac:dyDescent="0.25">
      <c r="B17" s="13">
        <v>500</v>
      </c>
      <c r="C17" s="15">
        <v>1.03</v>
      </c>
      <c r="D17" s="13">
        <v>270.10000000000002</v>
      </c>
      <c r="E17" s="14">
        <v>38.79</v>
      </c>
      <c r="F17" s="14">
        <v>40.700000000000003</v>
      </c>
      <c r="G17" s="14">
        <v>56.7</v>
      </c>
      <c r="H17" s="15">
        <v>0.68400000000000005</v>
      </c>
      <c r="I17" s="2"/>
      <c r="J17" s="2">
        <f t="shared" si="0"/>
        <v>1.0303574729663032</v>
      </c>
      <c r="K17" s="20">
        <f t="shared" si="1"/>
        <v>269.93745681338902</v>
      </c>
      <c r="L17" s="12">
        <f t="shared" si="2"/>
        <v>38.736259702965846</v>
      </c>
      <c r="M17" s="12">
        <f t="shared" si="3"/>
        <v>40.704827926593978</v>
      </c>
      <c r="N17" s="12">
        <f t="shared" si="4"/>
        <v>56.806941266209009</v>
      </c>
      <c r="O17" s="2">
        <f t="shared" si="5"/>
        <v>0.68344712164041843</v>
      </c>
      <c r="P17" s="2"/>
      <c r="Q17">
        <v>3.4322828413445388E-12</v>
      </c>
      <c r="R17">
        <v>7.5936199036150618E-9</v>
      </c>
      <c r="S17">
        <v>5.7323554931770415E-6</v>
      </c>
      <c r="T17">
        <v>1.6953263779674135E-3</v>
      </c>
      <c r="U17">
        <v>0.15869137671619982</v>
      </c>
    </row>
    <row r="18" spans="2:21" x14ac:dyDescent="0.25">
      <c r="B18" s="13">
        <v>550</v>
      </c>
      <c r="C18" s="15">
        <v>1.04</v>
      </c>
      <c r="D18" s="13">
        <v>288.39999999999998</v>
      </c>
      <c r="E18" s="14">
        <v>45.57</v>
      </c>
      <c r="F18" s="14">
        <v>43.9</v>
      </c>
      <c r="G18" s="14">
        <v>66.7</v>
      </c>
      <c r="H18" s="15">
        <v>0.68300000000000005</v>
      </c>
      <c r="I18" s="2"/>
      <c r="J18" s="2">
        <f t="shared" si="0"/>
        <v>1.0406424821644904</v>
      </c>
      <c r="K18" s="20">
        <f t="shared" si="1"/>
        <v>288.35158163952087</v>
      </c>
      <c r="L18" s="12">
        <f t="shared" si="2"/>
        <v>45.545792165836581</v>
      </c>
      <c r="M18" s="12">
        <f t="shared" si="3"/>
        <v>43.866886525777346</v>
      </c>
      <c r="N18" s="12">
        <f t="shared" si="4"/>
        <v>66.636020998788553</v>
      </c>
      <c r="O18" s="2">
        <f t="shared" si="5"/>
        <v>0.68398869296002174</v>
      </c>
      <c r="P18" s="2"/>
      <c r="Q18">
        <v>0.99999838078633174</v>
      </c>
      <c r="R18">
        <v>5.5627152578086612E-2</v>
      </c>
      <c r="S18" t="e">
        <v>#N/A</v>
      </c>
      <c r="T18" t="e">
        <v>#N/A</v>
      </c>
      <c r="U18" t="e">
        <v>#N/A</v>
      </c>
    </row>
    <row r="19" spans="2:21" x14ac:dyDescent="0.25">
      <c r="B19" s="13">
        <v>600</v>
      </c>
      <c r="C19" s="15">
        <v>1.0509999999999999</v>
      </c>
      <c r="D19" s="13">
        <v>305.8</v>
      </c>
      <c r="E19" s="14">
        <v>52.69</v>
      </c>
      <c r="F19" s="14">
        <v>46.9</v>
      </c>
      <c r="G19" s="14">
        <v>76.900000000000006</v>
      </c>
      <c r="H19" s="15">
        <v>0.68500000000000005</v>
      </c>
      <c r="I19" s="2"/>
      <c r="J19" s="2">
        <f t="shared" si="0"/>
        <v>1.0517227980437025</v>
      </c>
      <c r="K19" s="20">
        <f t="shared" si="1"/>
        <v>305.92166733970487</v>
      </c>
      <c r="L19" s="12">
        <f t="shared" si="2"/>
        <v>52.737456813388967</v>
      </c>
      <c r="M19" s="12">
        <f t="shared" si="3"/>
        <v>46.853166419886023</v>
      </c>
      <c r="N19" s="12">
        <f t="shared" si="4"/>
        <v>76.789645084578467</v>
      </c>
      <c r="O19" s="2">
        <f t="shared" si="5"/>
        <v>0.68649665724413356</v>
      </c>
      <c r="P19" s="2"/>
    </row>
    <row r="20" spans="2:21" x14ac:dyDescent="0.25">
      <c r="B20" s="13">
        <v>650</v>
      </c>
      <c r="C20" s="15">
        <v>1.0629999999999999</v>
      </c>
      <c r="D20" s="13">
        <v>322.5</v>
      </c>
      <c r="E20" s="14">
        <v>60.21</v>
      </c>
      <c r="F20" s="14">
        <v>49.7</v>
      </c>
      <c r="G20" s="14">
        <v>87.3</v>
      </c>
      <c r="H20" s="15">
        <v>0.69</v>
      </c>
      <c r="I20" s="2"/>
      <c r="J20" s="2">
        <f t="shared" si="0"/>
        <v>1.0632874443723817</v>
      </c>
      <c r="K20" s="20">
        <f t="shared" si="1"/>
        <v>322.75779011001123</v>
      </c>
      <c r="L20" s="12">
        <f t="shared" si="2"/>
        <v>60.28780615279188</v>
      </c>
      <c r="M20" s="12">
        <f t="shared" si="3"/>
        <v>49.67411332329894</v>
      </c>
      <c r="N20" s="12">
        <f t="shared" si="4"/>
        <v>87.216228661633181</v>
      </c>
      <c r="O20" s="2">
        <f t="shared" si="5"/>
        <v>0.69059850014480539</v>
      </c>
      <c r="P20" s="2"/>
      <c r="Q20" s="24" t="s">
        <v>22</v>
      </c>
    </row>
    <row r="21" spans="2:21" x14ac:dyDescent="0.25">
      <c r="B21" s="13">
        <v>700</v>
      </c>
      <c r="C21" s="15">
        <v>1.075</v>
      </c>
      <c r="D21" s="13">
        <v>338.8</v>
      </c>
      <c r="E21" s="14">
        <v>68.099999999999994</v>
      </c>
      <c r="F21" s="14">
        <v>52.4</v>
      </c>
      <c r="G21" s="14">
        <v>98</v>
      </c>
      <c r="H21" s="15">
        <v>0.69499999999999995</v>
      </c>
      <c r="I21" s="2"/>
      <c r="J21" s="2">
        <f t="shared" si="0"/>
        <v>1.0750710034794031</v>
      </c>
      <c r="K21" s="20">
        <f t="shared" si="1"/>
        <v>338.94623914471146</v>
      </c>
      <c r="L21" s="12">
        <f t="shared" si="2"/>
        <v>68.176780471289817</v>
      </c>
      <c r="M21" s="12">
        <f t="shared" si="3"/>
        <v>52.344930595495953</v>
      </c>
      <c r="N21" s="12">
        <f t="shared" si="4"/>
        <v>97.884522163348407</v>
      </c>
      <c r="O21" s="2">
        <f t="shared" si="5"/>
        <v>0.6958904416353604</v>
      </c>
      <c r="P21" s="2"/>
      <c r="Q21" t="s">
        <v>25</v>
      </c>
      <c r="R21" t="s">
        <v>26</v>
      </c>
      <c r="S21" t="s">
        <v>27</v>
      </c>
      <c r="T21" t="s">
        <v>29</v>
      </c>
      <c r="U21" s="17" t="s">
        <v>28</v>
      </c>
    </row>
    <row r="22" spans="2:21" x14ac:dyDescent="0.25">
      <c r="B22" s="13">
        <v>750</v>
      </c>
      <c r="C22" s="15">
        <v>1.087</v>
      </c>
      <c r="D22" s="13">
        <v>354.6</v>
      </c>
      <c r="E22" s="14">
        <v>76.37</v>
      </c>
      <c r="F22" s="14">
        <v>54.9</v>
      </c>
      <c r="G22" s="14">
        <v>109</v>
      </c>
      <c r="H22" s="15">
        <v>0.70199999999999996</v>
      </c>
      <c r="I22" s="2"/>
      <c r="J22" s="2">
        <f t="shared" si="0"/>
        <v>1.0868536162540738</v>
      </c>
      <c r="K22" s="20">
        <f t="shared" si="1"/>
        <v>354.54951663627816</v>
      </c>
      <c r="L22" s="12">
        <f t="shared" si="2"/>
        <v>76.387707836202921</v>
      </c>
      <c r="M22" s="12">
        <f t="shared" si="3"/>
        <v>54.885579241057769</v>
      </c>
      <c r="N22" s="12">
        <f t="shared" si="4"/>
        <v>108.78361131846128</v>
      </c>
      <c r="O22" s="2">
        <f t="shared" si="5"/>
        <v>0.7019374360103936</v>
      </c>
      <c r="P22" s="2"/>
      <c r="Q22">
        <f t="array" ref="Q22:U24">LINEST(F9:F27,B9:B27^{1,2,3,4},TRUE,TRUE)</f>
        <v>3.1717634005963577E-11</v>
      </c>
      <c r="R22">
        <v>-5.9022939041784138E-8</v>
      </c>
      <c r="S22">
        <v>4.5853085981636459E-6</v>
      </c>
      <c r="T22">
        <v>8.8867887584962543E-2</v>
      </c>
      <c r="U22">
        <v>0.52007223942208114</v>
      </c>
    </row>
    <row r="23" spans="2:21" x14ac:dyDescent="0.25">
      <c r="B23" s="13">
        <v>800</v>
      </c>
      <c r="C23" s="15">
        <v>1.099</v>
      </c>
      <c r="D23" s="13">
        <v>369.8</v>
      </c>
      <c r="E23" s="14">
        <v>84.93</v>
      </c>
      <c r="F23" s="14">
        <v>57.3</v>
      </c>
      <c r="G23" s="14">
        <v>120</v>
      </c>
      <c r="H23" s="15">
        <v>0.70899999999999996</v>
      </c>
      <c r="I23" s="2"/>
      <c r="J23" s="2">
        <f t="shared" si="0"/>
        <v>1.0984609821461349</v>
      </c>
      <c r="K23" s="20">
        <f t="shared" si="1"/>
        <v>369.60633777538482</v>
      </c>
      <c r="L23" s="12">
        <f t="shared" si="2"/>
        <v>84.907304094926943</v>
      </c>
      <c r="M23" s="12">
        <f t="shared" si="3"/>
        <v>57.320777909666049</v>
      </c>
      <c r="N23" s="12">
        <f t="shared" si="4"/>
        <v>119.9229171510502</v>
      </c>
      <c r="O23" s="2">
        <f t="shared" si="5"/>
        <v>0.70827317188577121</v>
      </c>
      <c r="P23" s="2"/>
      <c r="Q23">
        <v>3.7221270580883258E-12</v>
      </c>
      <c r="R23">
        <v>8.2348744024287879E-9</v>
      </c>
      <c r="S23">
        <v>6.2164327574406084E-6</v>
      </c>
      <c r="T23">
        <v>1.8384907291764639E-3</v>
      </c>
      <c r="U23">
        <v>0.17209230546083823</v>
      </c>
    </row>
    <row r="24" spans="2:21" x14ac:dyDescent="0.25">
      <c r="B24" s="13">
        <v>850</v>
      </c>
      <c r="C24" s="15">
        <v>1.1100000000000001</v>
      </c>
      <c r="D24" s="13">
        <v>384.3</v>
      </c>
      <c r="E24" s="14">
        <v>93.8</v>
      </c>
      <c r="F24" s="14">
        <v>59.6</v>
      </c>
      <c r="G24" s="14">
        <v>131</v>
      </c>
      <c r="H24" s="15">
        <v>0.71599999999999997</v>
      </c>
      <c r="I24" s="2"/>
      <c r="J24" s="2">
        <f t="shared" si="0"/>
        <v>1.1097643591657589</v>
      </c>
      <c r="K24" s="20">
        <f t="shared" si="1"/>
        <v>384.13163075090665</v>
      </c>
      <c r="L24" s="12">
        <f t="shared" si="2"/>
        <v>93.72567287493321</v>
      </c>
      <c r="M24" s="12">
        <f t="shared" si="3"/>
        <v>59.680002896103318</v>
      </c>
      <c r="N24" s="12">
        <f t="shared" si="4"/>
        <v>131.33219598053495</v>
      </c>
      <c r="O24" s="2">
        <f t="shared" si="5"/>
        <v>0.714400072198632</v>
      </c>
      <c r="P24" s="2"/>
      <c r="Q24">
        <v>0.99999107992221492</v>
      </c>
      <c r="R24">
        <v>6.0324670007147523E-2</v>
      </c>
      <c r="S24" t="e">
        <v>#N/A</v>
      </c>
      <c r="T24" t="e">
        <v>#N/A</v>
      </c>
      <c r="U24" t="e">
        <v>#N/A</v>
      </c>
    </row>
    <row r="25" spans="2:21" x14ac:dyDescent="0.25">
      <c r="B25" s="13">
        <v>900</v>
      </c>
      <c r="C25" s="15">
        <v>1.121</v>
      </c>
      <c r="D25" s="13">
        <v>398.1</v>
      </c>
      <c r="E25" s="14">
        <v>102.9</v>
      </c>
      <c r="F25" s="14">
        <v>62</v>
      </c>
      <c r="G25" s="14">
        <v>143</v>
      </c>
      <c r="H25" s="15">
        <v>0.72</v>
      </c>
      <c r="I25" s="2"/>
      <c r="J25" s="2">
        <f t="shared" si="0"/>
        <v>1.120680563883552</v>
      </c>
      <c r="K25" s="20">
        <f t="shared" si="1"/>
        <v>398.11653674991948</v>
      </c>
      <c r="L25" s="12">
        <f t="shared" si="2"/>
        <v>102.83630558376879</v>
      </c>
      <c r="M25" s="12">
        <f t="shared" si="3"/>
        <v>61.997488140252997</v>
      </c>
      <c r="N25" s="12">
        <f t="shared" si="4"/>
        <v>143.06153942167671</v>
      </c>
      <c r="O25" s="2">
        <f t="shared" si="5"/>
        <v>0.71978929420738558</v>
      </c>
      <c r="P25" s="2"/>
    </row>
    <row r="26" spans="2:21" x14ac:dyDescent="0.25">
      <c r="B26" s="13">
        <v>950</v>
      </c>
      <c r="C26" s="15">
        <v>1.131</v>
      </c>
      <c r="D26" s="13">
        <v>411.3</v>
      </c>
      <c r="E26" s="14">
        <v>112.2</v>
      </c>
      <c r="F26" s="14">
        <v>64.3</v>
      </c>
      <c r="G26" s="14">
        <v>155</v>
      </c>
      <c r="H26" s="15">
        <v>0.72299999999999998</v>
      </c>
      <c r="I26" s="2"/>
      <c r="J26" s="2">
        <f t="shared" si="0"/>
        <v>1.1311719714305524</v>
      </c>
      <c r="K26" s="20">
        <f t="shared" si="1"/>
        <v>411.5284099577006</v>
      </c>
      <c r="L26" s="12">
        <f t="shared" si="2"/>
        <v>112.23608140905625</v>
      </c>
      <c r="M26" s="12">
        <f t="shared" si="3"/>
        <v>64.312225227099376</v>
      </c>
      <c r="N26" s="12">
        <f t="shared" si="4"/>
        <v>155.18137438457808</v>
      </c>
      <c r="O26" s="2">
        <f t="shared" si="5"/>
        <v>0.72388072949171345</v>
      </c>
      <c r="P26" s="2"/>
      <c r="Q26" s="18" t="s">
        <v>23</v>
      </c>
    </row>
    <row r="27" spans="2:21" x14ac:dyDescent="0.25">
      <c r="B27" s="13">
        <v>1000</v>
      </c>
      <c r="C27" s="15">
        <v>1.141</v>
      </c>
      <c r="D27" s="13">
        <v>424.4</v>
      </c>
      <c r="E27" s="14">
        <v>121.9</v>
      </c>
      <c r="F27" s="14">
        <v>66.7</v>
      </c>
      <c r="G27" s="14">
        <v>168</v>
      </c>
      <c r="H27" s="15">
        <v>0.72599999999999998</v>
      </c>
      <c r="I27" s="2"/>
      <c r="J27" s="2">
        <f t="shared" si="0"/>
        <v>1.1412465154982316</v>
      </c>
      <c r="K27" s="20">
        <f t="shared" si="1"/>
        <v>424.3108175577284</v>
      </c>
      <c r="L27" s="12">
        <f t="shared" si="2"/>
        <v>121.92526731849389</v>
      </c>
      <c r="M27" s="12">
        <f t="shared" si="3"/>
        <v>66.66796338672772</v>
      </c>
      <c r="N27" s="12">
        <f t="shared" si="4"/>
        <v>167.78246307468277</v>
      </c>
      <c r="O27" s="2">
        <f t="shared" si="5"/>
        <v>0.72608300395256919</v>
      </c>
      <c r="P27" s="2"/>
      <c r="Q27" t="s">
        <v>25</v>
      </c>
      <c r="R27" t="s">
        <v>26</v>
      </c>
      <c r="S27" t="s">
        <v>27</v>
      </c>
      <c r="T27" t="s">
        <v>29</v>
      </c>
      <c r="U27" s="17" t="s">
        <v>28</v>
      </c>
    </row>
    <row r="28" spans="2:21" x14ac:dyDescent="0.25">
      <c r="Q28">
        <f t="array" ref="Q28:U30">LINEST(G9:G27,B9:B27^{1,2,3,4},TRUE,TRUE)</f>
        <v>1.3556863560902054E-10</v>
      </c>
      <c r="R28">
        <v>-3.8058767782822785E-7</v>
      </c>
      <c r="S28">
        <v>4.46482543839259E-4</v>
      </c>
      <c r="T28">
        <v>-3.5935527709455684E-2</v>
      </c>
      <c r="U28">
        <v>2.2544891640867988</v>
      </c>
    </row>
    <row r="29" spans="2:21" x14ac:dyDescent="0.25">
      <c r="B29" s="16" t="s">
        <v>15</v>
      </c>
      <c r="Q29">
        <v>1.1751447809526765E-11</v>
      </c>
      <c r="R29">
        <v>2.5999030997037343E-8</v>
      </c>
      <c r="S29">
        <v>1.9626435092201076E-5</v>
      </c>
      <c r="T29">
        <v>5.8044573747872679E-3</v>
      </c>
      <c r="U29">
        <v>0.54332743468539479</v>
      </c>
    </row>
    <row r="30" spans="2:21" x14ac:dyDescent="0.25">
      <c r="Q30">
        <v>0.99999016062225266</v>
      </c>
      <c r="R30">
        <v>0.19045620962224993</v>
      </c>
      <c r="S30" t="e">
        <v>#N/A</v>
      </c>
      <c r="T30" t="e">
        <v>#N/A</v>
      </c>
      <c r="U30" t="e">
        <v>#N/A</v>
      </c>
    </row>
    <row r="32" spans="2:21" x14ac:dyDescent="0.25">
      <c r="Q32" s="18" t="s">
        <v>24</v>
      </c>
    </row>
    <row r="33" spans="17:21" x14ac:dyDescent="0.25">
      <c r="Q33" t="s">
        <v>25</v>
      </c>
      <c r="R33" t="s">
        <v>26</v>
      </c>
      <c r="S33" t="s">
        <v>27</v>
      </c>
      <c r="T33" t="s">
        <v>29</v>
      </c>
      <c r="U33" s="17" t="s">
        <v>28</v>
      </c>
    </row>
    <row r="34" spans="17:21" x14ac:dyDescent="0.25">
      <c r="Q34">
        <f t="array" ref="Q34:U36">LINEST(H9:H27,B9:B27^{1,2,3,4},TRUE,TRUE)</f>
        <v>-2.0843785818883019E-13</v>
      </c>
      <c r="R34">
        <v>-1.7278723430301445E-11</v>
      </c>
      <c r="S34">
        <v>8.0062429381988664E-7</v>
      </c>
      <c r="T34">
        <v>-6.946059259984442E-4</v>
      </c>
      <c r="U34">
        <v>0.84578121775025839</v>
      </c>
    </row>
    <row r="35" spans="17:21" x14ac:dyDescent="0.25">
      <c r="Q35">
        <v>8.6312891387033503E-14</v>
      </c>
      <c r="R35">
        <v>1.9095958004393081E-10</v>
      </c>
      <c r="S35">
        <v>1.4415367262700141E-7</v>
      </c>
      <c r="T35">
        <v>4.2633002083753841E-5</v>
      </c>
      <c r="U35">
        <v>3.9906709894567422E-3</v>
      </c>
    </row>
    <row r="36" spans="17:21" x14ac:dyDescent="0.25">
      <c r="Q36">
        <v>0.99793029043537729</v>
      </c>
      <c r="R36">
        <v>1.3988766662252946E-3</v>
      </c>
      <c r="S36" t="e">
        <v>#N/A</v>
      </c>
      <c r="T36" t="e">
        <v>#N/A</v>
      </c>
      <c r="U36" t="e">
        <v>#N/A</v>
      </c>
    </row>
  </sheetData>
  <mergeCells count="4">
    <mergeCell ref="J6:O6"/>
    <mergeCell ref="C6:H6"/>
    <mergeCell ref="B2:O2"/>
    <mergeCell ref="Q1:U1"/>
  </mergeCells>
  <hyperlinks>
    <hyperlink ref="B3" r:id="rId1"/>
  </hyperlinks>
  <pageMargins left="0.25" right="0.25" top="0.75" bottom="0.75" header="0.3" footer="0.3"/>
  <pageSetup paperSize="9" scale="78" orientation="landscape" horizontalDpi="4294967293" verticalDpi="4294967293" r:id="rId2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Normal="100" workbookViewId="0"/>
  </sheetViews>
  <sheetFormatPr defaultRowHeight="15" x14ac:dyDescent="0.25"/>
  <cols>
    <col min="1" max="1" width="4.140625" customWidth="1"/>
    <col min="5" max="5" width="9.42578125" customWidth="1"/>
    <col min="6" max="6" width="8.85546875" customWidth="1"/>
    <col min="7" max="7" width="12" bestFit="1" customWidth="1"/>
    <col min="8" max="8" width="8" customWidth="1"/>
    <col min="9" max="9" width="9.5703125" customWidth="1"/>
    <col min="10" max="10" width="9.140625" customWidth="1"/>
    <col min="11" max="11" width="11.85546875" bestFit="1" customWidth="1"/>
    <col min="12" max="13" width="12" bestFit="1" customWidth="1"/>
    <col min="14" max="15" width="9.28515625" bestFit="1" customWidth="1"/>
    <col min="16" max="17" width="9.28515625" customWidth="1"/>
    <col min="18" max="18" width="12.7109375" bestFit="1" customWidth="1"/>
    <col min="19" max="19" width="12.85546875" bestFit="1" customWidth="1"/>
    <col min="20" max="20" width="12.42578125" bestFit="1" customWidth="1"/>
    <col min="21" max="21" width="11" bestFit="1" customWidth="1"/>
    <col min="22" max="22" width="10.5703125" bestFit="1" customWidth="1"/>
    <col min="24" max="24" width="9.28515625" bestFit="1" customWidth="1"/>
    <col min="25" max="25" width="12.7109375" bestFit="1" customWidth="1"/>
    <col min="26" max="26" width="12" bestFit="1" customWidth="1"/>
    <col min="27" max="28" width="9.28515625" bestFit="1" customWidth="1"/>
  </cols>
  <sheetData>
    <row r="1" spans="1:28" x14ac:dyDescent="0.25">
      <c r="A1" s="1"/>
      <c r="B1" s="2"/>
      <c r="C1" s="2"/>
      <c r="D1" s="2"/>
      <c r="E1" s="2"/>
      <c r="F1" s="2"/>
      <c r="G1" s="2"/>
      <c r="H1" s="3"/>
      <c r="R1" s="51"/>
      <c r="S1" s="51"/>
      <c r="T1" s="51"/>
      <c r="U1" s="51"/>
      <c r="V1" s="51"/>
    </row>
    <row r="2" spans="1:28" ht="18.75" x14ac:dyDescent="0.25">
      <c r="A2" s="4"/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R2" s="23"/>
      <c r="X2" s="18"/>
    </row>
    <row r="3" spans="1:28" x14ac:dyDescent="0.25">
      <c r="A3" s="5"/>
      <c r="B3" s="48" t="s">
        <v>133</v>
      </c>
      <c r="C3" s="6"/>
      <c r="D3" s="6"/>
      <c r="E3" s="6"/>
      <c r="I3" s="7" t="s">
        <v>0</v>
      </c>
      <c r="J3" s="8" t="s">
        <v>135</v>
      </c>
      <c r="K3" s="9"/>
      <c r="V3" s="17"/>
      <c r="AB3" s="17"/>
    </row>
    <row r="4" spans="1:28" x14ac:dyDescent="0.25">
      <c r="A4" s="5"/>
      <c r="B4" s="10" t="s">
        <v>134</v>
      </c>
      <c r="C4" s="6"/>
      <c r="D4" s="6"/>
      <c r="E4" s="6"/>
      <c r="I4" s="7" t="s">
        <v>1</v>
      </c>
      <c r="J4" s="11" t="s">
        <v>136</v>
      </c>
      <c r="K4" s="11"/>
    </row>
    <row r="6" spans="1:28" x14ac:dyDescent="0.25">
      <c r="B6" s="31" t="s">
        <v>79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8" x14ac:dyDescent="0.25">
      <c r="B7" s="32" t="s">
        <v>3</v>
      </c>
      <c r="C7" s="32" t="s">
        <v>7</v>
      </c>
      <c r="D7" s="32" t="s">
        <v>87</v>
      </c>
      <c r="E7" s="32"/>
      <c r="F7" s="32"/>
      <c r="G7" s="37" t="s">
        <v>80</v>
      </c>
      <c r="H7" s="32"/>
      <c r="I7" s="32"/>
      <c r="J7" s="32"/>
      <c r="K7" s="32"/>
      <c r="L7" s="32"/>
      <c r="M7" s="32"/>
      <c r="N7" s="32"/>
      <c r="O7" s="32"/>
      <c r="P7" s="13"/>
      <c r="Q7" s="13"/>
      <c r="R7" s="24"/>
    </row>
    <row r="8" spans="1:28" x14ac:dyDescent="0.25">
      <c r="B8" s="32" t="s">
        <v>7</v>
      </c>
      <c r="C8" s="32" t="s">
        <v>45</v>
      </c>
      <c r="D8" s="32" t="s">
        <v>45</v>
      </c>
      <c r="E8" s="32"/>
      <c r="F8" s="32"/>
      <c r="G8" t="s">
        <v>81</v>
      </c>
      <c r="H8" t="s">
        <v>82</v>
      </c>
      <c r="I8" t="s">
        <v>83</v>
      </c>
      <c r="J8" s="17" t="s">
        <v>84</v>
      </c>
      <c r="K8" s="32"/>
      <c r="L8" s="32"/>
      <c r="M8" s="32"/>
      <c r="N8" s="32"/>
      <c r="O8" s="32"/>
      <c r="P8" s="13"/>
      <c r="Q8" s="13"/>
      <c r="R8" s="24"/>
    </row>
    <row r="9" spans="1:28" x14ac:dyDescent="0.25">
      <c r="B9" s="32">
        <v>400</v>
      </c>
      <c r="C9" s="32">
        <v>58.7</v>
      </c>
      <c r="D9" s="36">
        <f>$G$9*B9^3+$H$9*B9^2+$I$9*B9+$J$9</f>
        <v>58.699999999999989</v>
      </c>
      <c r="G9" s="35">
        <f t="array" ref="G9:J11">LINEST(C9:C12,B9:B12^{1,2,3},TRUE,TRUE)</f>
        <v>2.0833333333331473E-9</v>
      </c>
      <c r="H9" s="35">
        <v>3.6704440637576654E-19</v>
      </c>
      <c r="I9" s="35">
        <v>-5.1083333333333571E-2</v>
      </c>
      <c r="J9" s="32">
        <v>79.000000000000043</v>
      </c>
      <c r="K9" s="32"/>
      <c r="L9" s="32"/>
      <c r="M9" s="32"/>
      <c r="N9" s="32"/>
      <c r="O9" s="32"/>
      <c r="P9" s="2"/>
      <c r="V9" s="17"/>
    </row>
    <row r="10" spans="1:28" x14ac:dyDescent="0.25">
      <c r="B10" s="32">
        <v>600</v>
      </c>
      <c r="C10" s="32">
        <v>48.8</v>
      </c>
      <c r="D10" s="36">
        <f>$G$9*B10^3+$H$9*B10^2+$I$9*B10+$J$9</f>
        <v>48.8</v>
      </c>
      <c r="G10" s="32">
        <v>0</v>
      </c>
      <c r="H10" s="32">
        <v>0</v>
      </c>
      <c r="I10" s="32">
        <v>0</v>
      </c>
      <c r="J10" s="32">
        <v>0</v>
      </c>
      <c r="K10" s="32"/>
      <c r="L10" s="32"/>
      <c r="M10" s="32"/>
      <c r="N10" s="32"/>
      <c r="O10" s="32"/>
      <c r="P10" s="2"/>
      <c r="R10" s="19"/>
      <c r="S10" s="19"/>
      <c r="T10" s="19"/>
      <c r="U10" s="19"/>
      <c r="V10" s="19"/>
    </row>
    <row r="11" spans="1:28" x14ac:dyDescent="0.25">
      <c r="B11" s="32">
        <v>800</v>
      </c>
      <c r="C11" s="32">
        <v>39.200000000000003</v>
      </c>
      <c r="D11" s="36">
        <f>$G$9*B11^3+$H$9*B11^2+$I$9*B11+$J$9</f>
        <v>39.199999999999989</v>
      </c>
      <c r="G11" s="32">
        <v>1</v>
      </c>
      <c r="H11" s="32">
        <v>0</v>
      </c>
      <c r="I11" s="32" t="e">
        <v>#N/A</v>
      </c>
      <c r="J11" s="32" t="e">
        <v>#N/A</v>
      </c>
      <c r="K11" s="32"/>
      <c r="L11" s="32"/>
      <c r="M11" s="32"/>
      <c r="N11" s="32"/>
      <c r="O11" s="32"/>
      <c r="P11" s="2"/>
    </row>
    <row r="12" spans="1:28" x14ac:dyDescent="0.25">
      <c r="B12" s="32">
        <v>1000</v>
      </c>
      <c r="C12" s="34">
        <v>30</v>
      </c>
      <c r="D12" s="36">
        <f>$G$9*B12^3+$H$9*B12^2+$I$9*B12+$J$9</f>
        <v>29.999999999999986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2"/>
    </row>
    <row r="13" spans="1:28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"/>
    </row>
    <row r="14" spans="1:28" x14ac:dyDescent="0.25">
      <c r="B14" s="31" t="s">
        <v>85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2"/>
      <c r="R14" s="24"/>
    </row>
    <row r="15" spans="1:28" x14ac:dyDescent="0.25">
      <c r="B15" s="32" t="s">
        <v>3</v>
      </c>
      <c r="C15" s="32" t="s">
        <v>7</v>
      </c>
      <c r="D15" s="32" t="s">
        <v>87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2"/>
      <c r="V15" s="17"/>
    </row>
    <row r="16" spans="1:28" x14ac:dyDescent="0.25">
      <c r="B16" s="32" t="s">
        <v>7</v>
      </c>
      <c r="C16" s="32" t="s">
        <v>45</v>
      </c>
      <c r="D16" s="32" t="s">
        <v>45</v>
      </c>
      <c r="E16" s="32"/>
      <c r="F16" s="32"/>
      <c r="G16" s="37" t="s">
        <v>86</v>
      </c>
      <c r="H16" s="32"/>
      <c r="I16" s="32"/>
      <c r="J16" s="32"/>
      <c r="K16" s="32"/>
      <c r="L16" s="32"/>
      <c r="M16" s="32"/>
      <c r="N16" s="32"/>
      <c r="O16" s="32"/>
      <c r="P16" s="2"/>
    </row>
    <row r="17" spans="2:22" x14ac:dyDescent="0.25">
      <c r="B17" s="32">
        <v>310</v>
      </c>
      <c r="C17" s="39">
        <v>5.5E-2</v>
      </c>
      <c r="D17" s="38">
        <f>$G$18*B17^4+$H$18*B17^3+$I$18*B17^2+$J$18*B17+$K$18</f>
        <v>5.5085129131576156E-2</v>
      </c>
      <c r="E17" s="32"/>
      <c r="F17" s="32"/>
      <c r="G17" t="s">
        <v>25</v>
      </c>
      <c r="H17" t="s">
        <v>26</v>
      </c>
      <c r="I17" t="s">
        <v>27</v>
      </c>
      <c r="J17" t="s">
        <v>29</v>
      </c>
      <c r="K17" s="17" t="s">
        <v>28</v>
      </c>
      <c r="L17" s="32"/>
      <c r="M17" s="32"/>
      <c r="N17" s="32"/>
      <c r="O17" s="32"/>
      <c r="P17" s="2"/>
    </row>
    <row r="18" spans="2:22" x14ac:dyDescent="0.25">
      <c r="B18" s="32">
        <v>365</v>
      </c>
      <c r="C18" s="39">
        <v>5.8999999999999997E-2</v>
      </c>
      <c r="D18" s="38">
        <f t="shared" ref="D18:D22" si="0">$G$18*B18^4+$H$18*B18^3+$I$18*B18^2+$J$18*B18+$K$18</f>
        <v>5.8689597180103234E-2</v>
      </c>
      <c r="E18" s="32"/>
      <c r="F18" s="32"/>
      <c r="G18" s="32">
        <f t="array" ref="G18:K20">LINEST(C17:C22,B17:B22^{1,2,3,4},TRUE,TRUE)</f>
        <v>3.1571145066949835E-13</v>
      </c>
      <c r="H18" s="32">
        <v>-7.4641409880469617E-10</v>
      </c>
      <c r="I18" s="32">
        <v>7.3655470313128447E-7</v>
      </c>
      <c r="J18" s="32">
        <v>-2.2488083011171439E-4</v>
      </c>
      <c r="K18" s="32">
        <v>7.3336040366444422E-2</v>
      </c>
      <c r="L18" s="32"/>
      <c r="M18" s="32"/>
      <c r="N18" s="32"/>
      <c r="O18" s="32"/>
      <c r="P18" s="2"/>
    </row>
    <row r="19" spans="2:22" x14ac:dyDescent="0.25">
      <c r="B19" s="32">
        <v>420</v>
      </c>
      <c r="C19" s="39">
        <v>6.3E-2</v>
      </c>
      <c r="D19" s="38">
        <f t="shared" si="0"/>
        <v>6.3337994181665372E-2</v>
      </c>
      <c r="E19" s="32"/>
      <c r="F19" s="32"/>
      <c r="G19" s="32">
        <v>9.1150066721115415E-13</v>
      </c>
      <c r="H19" s="32">
        <v>1.9171639537169332E-9</v>
      </c>
      <c r="I19" s="32">
        <v>1.4673917996666513E-6</v>
      </c>
      <c r="J19" s="32">
        <v>4.8355639788389445E-4</v>
      </c>
      <c r="K19" s="32">
        <v>5.7855679102829828E-2</v>
      </c>
      <c r="L19" s="32"/>
      <c r="M19" s="32"/>
      <c r="N19" s="32"/>
      <c r="O19" s="32"/>
      <c r="P19" s="2"/>
    </row>
    <row r="20" spans="2:22" x14ac:dyDescent="0.25">
      <c r="B20" s="32">
        <v>530</v>
      </c>
      <c r="C20" s="39">
        <v>7.4999999999999997E-2</v>
      </c>
      <c r="D20" s="38">
        <f t="shared" si="0"/>
        <v>7.4834676758967988E-2</v>
      </c>
      <c r="E20" s="32"/>
      <c r="F20" s="32"/>
      <c r="G20" s="32">
        <v>0.99986380049760448</v>
      </c>
      <c r="H20" s="32">
        <v>4.9963085170359441E-4</v>
      </c>
      <c r="I20" s="32" t="e">
        <v>#N/A</v>
      </c>
      <c r="J20" s="32" t="e">
        <v>#N/A</v>
      </c>
      <c r="K20" s="32" t="e">
        <v>#N/A</v>
      </c>
      <c r="L20" s="32"/>
      <c r="M20" s="32"/>
      <c r="N20" s="32"/>
      <c r="O20" s="32"/>
      <c r="P20" s="2"/>
      <c r="R20" s="24"/>
    </row>
    <row r="21" spans="2:22" x14ac:dyDescent="0.25">
      <c r="B21" s="32">
        <v>645</v>
      </c>
      <c r="C21" s="39">
        <v>8.8999999999999996E-2</v>
      </c>
      <c r="D21" s="38">
        <f t="shared" si="0"/>
        <v>8.906553619851626E-2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"/>
      <c r="V21" s="17"/>
    </row>
    <row r="22" spans="2:22" x14ac:dyDescent="0.25">
      <c r="B22" s="32">
        <v>750</v>
      </c>
      <c r="C22" s="39">
        <v>0.104</v>
      </c>
      <c r="D22" s="38">
        <f t="shared" si="0"/>
        <v>0.10398706654917089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"/>
    </row>
    <row r="23" spans="2:22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"/>
    </row>
    <row r="24" spans="2:22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"/>
    </row>
    <row r="25" spans="2:22" x14ac:dyDescent="0.25">
      <c r="B25" s="16" t="s">
        <v>15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"/>
    </row>
    <row r="26" spans="2:22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"/>
      <c r="R26" s="18"/>
    </row>
    <row r="27" spans="2:22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"/>
      <c r="V27" s="17"/>
    </row>
    <row r="32" spans="2:22" x14ac:dyDescent="0.25">
      <c r="R32" s="18"/>
    </row>
    <row r="33" spans="22:22" x14ac:dyDescent="0.25">
      <c r="V33" s="17"/>
    </row>
  </sheetData>
  <mergeCells count="1">
    <mergeCell ref="R1:V1"/>
  </mergeCells>
  <hyperlinks>
    <hyperlink ref="B3" r:id="rId1"/>
  </hyperlinks>
  <pageMargins left="0.25" right="0.25" top="0.75" bottom="0.75" header="0.3" footer="0.3"/>
  <pageSetup paperSize="9" scale="78" orientation="portrait" horizontalDpi="4294967293" verticalDpi="4294967293" r:id="rId2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Calculation</vt:lpstr>
      <vt:lpstr>Air_Properties</vt:lpstr>
      <vt:lpstr>Properties</vt:lpstr>
      <vt:lpstr>Calculation!Print_Area</vt:lpstr>
      <vt:lpstr>Properties!Print_Area</vt:lpstr>
      <vt:lpstr>Calculation!Print_Titles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2015-01-22T15:37:12Z</cp:lastPrinted>
  <dcterms:created xsi:type="dcterms:W3CDTF">2015-01-17T16:46:51Z</dcterms:created>
  <dcterms:modified xsi:type="dcterms:W3CDTF">2016-07-09T08:05:22Z</dcterms:modified>
</cp:coreProperties>
</file>