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5" windowWidth="10245" windowHeight="7815"/>
  </bookViews>
  <sheets>
    <sheet name="compressible fluid" sheetId="1" r:id="rId1"/>
  </sheets>
  <definedNames>
    <definedName name="_xlnm.Print_Area" localSheetId="0">'compressible fluid'!$A$1:$J$42</definedName>
  </definedNames>
  <calcPr calcId="145621"/>
</workbook>
</file>

<file path=xl/calcChain.xml><?xml version="1.0" encoding="utf-8"?>
<calcChain xmlns="http://schemas.openxmlformats.org/spreadsheetml/2006/main">
  <c r="E149" i="1" l="1"/>
  <c r="H34" i="1"/>
  <c r="H21" i="1" l="1"/>
  <c r="D51" i="1"/>
  <c r="D49" i="1"/>
  <c r="H27" i="1"/>
  <c r="E27" i="1"/>
  <c r="E14" i="1" l="1"/>
  <c r="E28" i="1" l="1"/>
  <c r="H19" i="1"/>
  <c r="H18" i="1"/>
  <c r="H17" i="1"/>
  <c r="H13" i="1"/>
  <c r="H12" i="1"/>
  <c r="H11" i="1"/>
  <c r="H28" i="1" s="1"/>
  <c r="E153" i="1" l="1"/>
  <c r="H150" i="1"/>
  <c r="E150" i="1" s="1"/>
  <c r="H149" i="1"/>
  <c r="H14" i="1"/>
  <c r="D50" i="1" l="1"/>
  <c r="C53" i="1" l="1"/>
  <c r="D53" i="1" s="1"/>
  <c r="E53" i="1" s="1"/>
  <c r="F53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S53" i="1" s="1"/>
  <c r="T53" i="1" s="1"/>
  <c r="U53" i="1" s="1"/>
  <c r="V53" i="1" s="1"/>
  <c r="D54" i="1" s="1"/>
  <c r="D55" i="1" s="1"/>
  <c r="D58" i="1" l="1"/>
  <c r="D59" i="1" s="1"/>
  <c r="D60" i="1" l="1"/>
  <c r="D61" i="1" s="1"/>
  <c r="C63" i="1" l="1"/>
  <c r="D63" i="1" s="1"/>
  <c r="E63" i="1" s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R63" i="1" s="1"/>
  <c r="S63" i="1" s="1"/>
  <c r="T63" i="1" s="1"/>
  <c r="U63" i="1" s="1"/>
  <c r="V63" i="1" s="1"/>
  <c r="D64" i="1" s="1"/>
  <c r="D65" i="1" s="1"/>
  <c r="D68" i="1" s="1"/>
  <c r="D69" i="1" s="1"/>
  <c r="D70" i="1" l="1"/>
  <c r="D71" i="1" s="1"/>
  <c r="C73" i="1" s="1"/>
  <c r="D73" i="1" s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D74" i="1" s="1"/>
  <c r="D75" i="1" s="1"/>
  <c r="D78" i="1" l="1"/>
  <c r="D79" i="1" l="1"/>
  <c r="D80" i="1" l="1"/>
  <c r="D81" i="1" s="1"/>
  <c r="C83" i="1" s="1"/>
  <c r="D83" i="1" s="1"/>
  <c r="E83" i="1" s="1"/>
  <c r="F83" i="1" s="1"/>
  <c r="G83" i="1" s="1"/>
  <c r="H83" i="1" s="1"/>
  <c r="I83" i="1" s="1"/>
  <c r="J83" i="1" s="1"/>
  <c r="K83" i="1" s="1"/>
  <c r="L83" i="1" s="1"/>
  <c r="M83" i="1" s="1"/>
  <c r="N83" i="1" s="1"/>
  <c r="O83" i="1" s="1"/>
  <c r="P83" i="1" s="1"/>
  <c r="Q83" i="1" s="1"/>
  <c r="R83" i="1" s="1"/>
  <c r="S83" i="1" s="1"/>
  <c r="T83" i="1" s="1"/>
  <c r="U83" i="1" s="1"/>
  <c r="V83" i="1" s="1"/>
  <c r="D84" i="1" s="1"/>
  <c r="D85" i="1" s="1"/>
  <c r="D88" i="1" l="1"/>
  <c r="D89" i="1" l="1"/>
  <c r="D90" i="1" l="1"/>
  <c r="D91" i="1" s="1"/>
  <c r="C93" i="1" l="1"/>
  <c r="D93" i="1" s="1"/>
  <c r="E93" i="1" s="1"/>
  <c r="F93" i="1" s="1"/>
  <c r="G93" i="1" s="1"/>
  <c r="H93" i="1" s="1"/>
  <c r="I93" i="1" s="1"/>
  <c r="J93" i="1" s="1"/>
  <c r="K93" i="1" s="1"/>
  <c r="L93" i="1" s="1"/>
  <c r="M93" i="1" s="1"/>
  <c r="N93" i="1" s="1"/>
  <c r="O93" i="1" s="1"/>
  <c r="P93" i="1" s="1"/>
  <c r="Q93" i="1" s="1"/>
  <c r="R93" i="1" s="1"/>
  <c r="S93" i="1" s="1"/>
  <c r="T93" i="1" s="1"/>
  <c r="U93" i="1" s="1"/>
  <c r="V93" i="1" s="1"/>
  <c r="D94" i="1" s="1"/>
  <c r="D95" i="1" s="1"/>
  <c r="D98" i="1" s="1"/>
  <c r="D99" i="1" l="1"/>
  <c r="D100" i="1" l="1"/>
  <c r="D101" i="1" s="1"/>
  <c r="C103" i="1" l="1"/>
  <c r="D103" i="1" s="1"/>
  <c r="E103" i="1" s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Q103" i="1" s="1"/>
  <c r="R103" i="1" s="1"/>
  <c r="S103" i="1" s="1"/>
  <c r="T103" i="1" s="1"/>
  <c r="U103" i="1" s="1"/>
  <c r="V103" i="1" s="1"/>
  <c r="D104" i="1" s="1"/>
  <c r="D105" i="1" s="1"/>
  <c r="D108" i="1" s="1"/>
  <c r="D109" i="1" l="1"/>
  <c r="D110" i="1" l="1"/>
  <c r="D111" i="1" s="1"/>
  <c r="C113" i="1" l="1"/>
  <c r="D113" i="1" s="1"/>
  <c r="E113" i="1" s="1"/>
  <c r="F113" i="1" s="1"/>
  <c r="G113" i="1" s="1"/>
  <c r="H113" i="1" s="1"/>
  <c r="I113" i="1" s="1"/>
  <c r="J113" i="1" s="1"/>
  <c r="K113" i="1" s="1"/>
  <c r="L113" i="1" s="1"/>
  <c r="M113" i="1" s="1"/>
  <c r="N113" i="1" s="1"/>
  <c r="O113" i="1" s="1"/>
  <c r="P113" i="1" s="1"/>
  <c r="Q113" i="1" s="1"/>
  <c r="R113" i="1" s="1"/>
  <c r="S113" i="1" s="1"/>
  <c r="T113" i="1" s="1"/>
  <c r="U113" i="1" s="1"/>
  <c r="V113" i="1" s="1"/>
  <c r="D114" i="1" s="1"/>
  <c r="D115" i="1" s="1"/>
  <c r="D118" i="1" s="1"/>
  <c r="D119" i="1" l="1"/>
  <c r="D120" i="1" l="1"/>
  <c r="D121" i="1" s="1"/>
  <c r="C123" i="1" l="1"/>
  <c r="D123" i="1" s="1"/>
  <c r="E123" i="1" s="1"/>
  <c r="F123" i="1" s="1"/>
  <c r="G123" i="1" s="1"/>
  <c r="H123" i="1" s="1"/>
  <c r="I123" i="1" s="1"/>
  <c r="J123" i="1" s="1"/>
  <c r="K123" i="1" s="1"/>
  <c r="L123" i="1" s="1"/>
  <c r="M123" i="1" s="1"/>
  <c r="N123" i="1" s="1"/>
  <c r="O123" i="1" s="1"/>
  <c r="P123" i="1" s="1"/>
  <c r="Q123" i="1" s="1"/>
  <c r="R123" i="1" s="1"/>
  <c r="S123" i="1" s="1"/>
  <c r="T123" i="1" s="1"/>
  <c r="U123" i="1" s="1"/>
  <c r="V123" i="1" s="1"/>
  <c r="D124" i="1" s="1"/>
  <c r="D125" i="1" s="1"/>
  <c r="D128" i="1" s="1"/>
  <c r="D129" i="1" l="1"/>
  <c r="D130" i="1" l="1"/>
  <c r="D131" i="1" s="1"/>
  <c r="C133" i="1" l="1"/>
  <c r="D133" i="1" s="1"/>
  <c r="E133" i="1" s="1"/>
  <c r="F133" i="1" s="1"/>
  <c r="G133" i="1" s="1"/>
  <c r="H133" i="1" s="1"/>
  <c r="I133" i="1" s="1"/>
  <c r="J133" i="1" s="1"/>
  <c r="K133" i="1" s="1"/>
  <c r="L133" i="1" s="1"/>
  <c r="M133" i="1" s="1"/>
  <c r="N133" i="1" s="1"/>
  <c r="O133" i="1" s="1"/>
  <c r="P133" i="1" s="1"/>
  <c r="Q133" i="1" s="1"/>
  <c r="R133" i="1" s="1"/>
  <c r="S133" i="1" s="1"/>
  <c r="T133" i="1" s="1"/>
  <c r="U133" i="1" s="1"/>
  <c r="V133" i="1" s="1"/>
  <c r="D134" i="1" s="1"/>
  <c r="D135" i="1" s="1"/>
  <c r="D138" i="1" s="1"/>
  <c r="D139" i="1" s="1"/>
  <c r="D140" i="1" s="1"/>
  <c r="K149" i="1" s="1"/>
  <c r="D141" i="1" l="1"/>
  <c r="H29" i="1"/>
  <c r="E29" i="1" s="1"/>
  <c r="C143" i="1" l="1"/>
  <c r="D143" i="1" s="1"/>
  <c r="E143" i="1" s="1"/>
  <c r="F143" i="1" s="1"/>
  <c r="G143" i="1" s="1"/>
  <c r="H143" i="1" s="1"/>
  <c r="I143" i="1" s="1"/>
  <c r="J143" i="1" s="1"/>
  <c r="K143" i="1" s="1"/>
  <c r="L143" i="1" s="1"/>
  <c r="M143" i="1" s="1"/>
  <c r="N143" i="1" s="1"/>
  <c r="O143" i="1" s="1"/>
  <c r="P143" i="1" s="1"/>
  <c r="Q143" i="1" s="1"/>
  <c r="R143" i="1" s="1"/>
  <c r="S143" i="1" s="1"/>
  <c r="T143" i="1" s="1"/>
  <c r="U143" i="1" s="1"/>
  <c r="V143" i="1" s="1"/>
  <c r="D144" i="1" s="1"/>
  <c r="D145" i="1" l="1"/>
  <c r="D147" i="1" s="1"/>
  <c r="H35" i="1" l="1"/>
  <c r="E35" i="1" s="1"/>
  <c r="E38" i="1"/>
  <c r="E37" i="1"/>
  <c r="E36" i="1"/>
  <c r="H30" i="1"/>
  <c r="E30" i="1" s="1"/>
  <c r="E31" i="1" s="1"/>
  <c r="E32" i="1" s="1"/>
  <c r="E34" i="1"/>
  <c r="H31" i="1" l="1"/>
  <c r="H32" i="1" s="1"/>
</calcChain>
</file>

<file path=xl/sharedStrings.xml><?xml version="1.0" encoding="utf-8"?>
<sst xmlns="http://schemas.openxmlformats.org/spreadsheetml/2006/main" count="222" uniqueCount="89">
  <si>
    <t>Description</t>
  </si>
  <si>
    <t>Date</t>
  </si>
  <si>
    <t xml:space="preserve">User Input </t>
  </si>
  <si>
    <t>By</t>
  </si>
  <si>
    <t>Single Phase Compressible Fluid Flow</t>
  </si>
  <si>
    <t>Feed Pipe</t>
  </si>
  <si>
    <t>Line Number</t>
  </si>
  <si>
    <t>P-10001</t>
  </si>
  <si>
    <t>Pipe Data</t>
  </si>
  <si>
    <t>mm</t>
  </si>
  <si>
    <t>Inner Diameter</t>
  </si>
  <si>
    <t>Roughness</t>
  </si>
  <si>
    <t>Length</t>
  </si>
  <si>
    <t>m</t>
  </si>
  <si>
    <t>Fluid Data</t>
  </si>
  <si>
    <t>Pressure Inlet</t>
  </si>
  <si>
    <t>bar</t>
  </si>
  <si>
    <t>Pressure Outlet</t>
  </si>
  <si>
    <t>Molecular Weight</t>
  </si>
  <si>
    <t>Cp/Cv Ratio</t>
  </si>
  <si>
    <t>Compressibility Factor</t>
  </si>
  <si>
    <t>inch</t>
  </si>
  <si>
    <t>foot</t>
  </si>
  <si>
    <t>psi</t>
  </si>
  <si>
    <t>Calculation</t>
  </si>
  <si>
    <t>Fluid Density</t>
  </si>
  <si>
    <t>Deg F</t>
  </si>
  <si>
    <t>Deg C</t>
  </si>
  <si>
    <t>Cross Sectional Area of Pipe</t>
  </si>
  <si>
    <t>Iteration 1</t>
  </si>
  <si>
    <t>Flowrate</t>
  </si>
  <si>
    <t>lb/s</t>
  </si>
  <si>
    <t>Volumetric Flow</t>
  </si>
  <si>
    <t>ft3/s</t>
  </si>
  <si>
    <t>Velocity</t>
  </si>
  <si>
    <t>ft/s</t>
  </si>
  <si>
    <t>Reynold's Number</t>
  </si>
  <si>
    <t>Viscosity</t>
  </si>
  <si>
    <t>cP</t>
  </si>
  <si>
    <t>lb/ft.s</t>
  </si>
  <si>
    <t>Roughness/ID</t>
  </si>
  <si>
    <t>f</t>
  </si>
  <si>
    <t>Iter</t>
  </si>
  <si>
    <t>f, Selected</t>
  </si>
  <si>
    <t>Flowrate, Calculated</t>
  </si>
  <si>
    <t>Iteration 2</t>
  </si>
  <si>
    <t>Iteration 3</t>
  </si>
  <si>
    <t>Iteration 4</t>
  </si>
  <si>
    <t>Kg/h</t>
  </si>
  <si>
    <t>Iteration 5</t>
  </si>
  <si>
    <t>Iteration 6</t>
  </si>
  <si>
    <t>Iteration 7</t>
  </si>
  <si>
    <t>Iteration 8</t>
  </si>
  <si>
    <t>Iteration 9</t>
  </si>
  <si>
    <t>Iteration 10</t>
  </si>
  <si>
    <t>Solution Found</t>
  </si>
  <si>
    <t>Volumetric Flowrate</t>
  </si>
  <si>
    <t>Mass Flowrate</t>
  </si>
  <si>
    <r>
      <t>lb/ft</t>
    </r>
    <r>
      <rPr>
        <vertAlign val="superscript"/>
        <sz val="11"/>
        <color theme="1"/>
        <rFont val="Calibri"/>
        <family val="2"/>
        <scheme val="minor"/>
      </rPr>
      <t>3</t>
    </r>
  </si>
  <si>
    <t>Fluid Velocity</t>
  </si>
  <si>
    <t>m/s</t>
  </si>
  <si>
    <t>Sonic Velocity</t>
  </si>
  <si>
    <t>Density 1</t>
  </si>
  <si>
    <t>Density 2</t>
  </si>
  <si>
    <t>at P1</t>
  </si>
  <si>
    <t>at P2</t>
  </si>
  <si>
    <t xml:space="preserve">English </t>
  </si>
  <si>
    <t>Metric</t>
  </si>
  <si>
    <t>Result</t>
  </si>
  <si>
    <t>Mach No.</t>
  </si>
  <si>
    <r>
      <t>m</t>
    </r>
    <r>
      <rPr>
        <vertAlign val="superscript"/>
        <sz val="11"/>
        <color rgb="FF7030A0"/>
        <rFont val="Calibri"/>
        <family val="2"/>
        <scheme val="minor"/>
      </rPr>
      <t>3</t>
    </r>
    <r>
      <rPr>
        <sz val="11"/>
        <color rgb="FF7030A0"/>
        <rFont val="Calibri"/>
        <family val="2"/>
        <scheme val="minor"/>
      </rPr>
      <t>/h</t>
    </r>
  </si>
  <si>
    <r>
      <t>Nm</t>
    </r>
    <r>
      <rPr>
        <vertAlign val="superscript"/>
        <sz val="11"/>
        <color rgb="FF7030A0"/>
        <rFont val="Calibri"/>
        <family val="2"/>
        <scheme val="minor"/>
      </rPr>
      <t>3</t>
    </r>
    <r>
      <rPr>
        <sz val="11"/>
        <color rgb="FF7030A0"/>
        <rFont val="Calibri"/>
        <family val="2"/>
        <scheme val="minor"/>
      </rPr>
      <t>/h @ 1 atm, 0</t>
    </r>
    <r>
      <rPr>
        <sz val="11"/>
        <color rgb="FF7030A0"/>
        <rFont val="Calibri"/>
        <family val="2"/>
      </rPr>
      <t>°</t>
    </r>
    <r>
      <rPr>
        <sz val="11"/>
        <color rgb="FF7030A0"/>
        <rFont val="Calibri"/>
        <family val="2"/>
        <scheme val="minor"/>
      </rPr>
      <t>C</t>
    </r>
  </si>
  <si>
    <r>
      <t>SCFM @ 14.7 PSI, 60</t>
    </r>
    <r>
      <rPr>
        <sz val="11"/>
        <color rgb="FF7030A0"/>
        <rFont val="Calibri"/>
        <family val="2"/>
      </rPr>
      <t>°</t>
    </r>
    <r>
      <rPr>
        <sz val="11"/>
        <color rgb="FF7030A0"/>
        <rFont val="Calibri"/>
        <family val="2"/>
        <scheme val="minor"/>
      </rPr>
      <t>F</t>
    </r>
  </si>
  <si>
    <r>
      <t>ft</t>
    </r>
    <r>
      <rPr>
        <vertAlign val="superscript"/>
        <sz val="11"/>
        <color rgb="FF7030A0"/>
        <rFont val="Calibri"/>
        <family val="2"/>
        <scheme val="minor"/>
      </rPr>
      <t>3</t>
    </r>
    <r>
      <rPr>
        <sz val="11"/>
        <color rgb="FF7030A0"/>
        <rFont val="Calibri"/>
        <family val="2"/>
        <scheme val="minor"/>
      </rPr>
      <t>/min</t>
    </r>
  </si>
  <si>
    <r>
      <t>ft</t>
    </r>
    <r>
      <rPr>
        <vertAlign val="superscript"/>
        <sz val="11"/>
        <color rgb="FF7030A0"/>
        <rFont val="Calibri"/>
        <family val="2"/>
        <scheme val="minor"/>
      </rPr>
      <t>2</t>
    </r>
  </si>
  <si>
    <r>
      <t>lb/ft</t>
    </r>
    <r>
      <rPr>
        <vertAlign val="superscript"/>
        <sz val="11"/>
        <color rgb="FF7030A0"/>
        <rFont val="Calibri"/>
        <family val="2"/>
        <scheme val="minor"/>
      </rPr>
      <t>3</t>
    </r>
  </si>
  <si>
    <r>
      <t>m</t>
    </r>
    <r>
      <rPr>
        <vertAlign val="superscript"/>
        <sz val="11"/>
        <color rgb="FF7030A0"/>
        <rFont val="Calibri"/>
        <family val="2"/>
        <scheme val="minor"/>
      </rPr>
      <t>2</t>
    </r>
  </si>
  <si>
    <r>
      <t>Kg/m</t>
    </r>
    <r>
      <rPr>
        <vertAlign val="superscript"/>
        <sz val="11"/>
        <color rgb="FF7030A0"/>
        <rFont val="Calibri"/>
        <family val="2"/>
        <scheme val="minor"/>
      </rPr>
      <t>3</t>
    </r>
  </si>
  <si>
    <t>Flowing Temperature</t>
  </si>
  <si>
    <t>Maximum Allowable Velocity</t>
  </si>
  <si>
    <t>Erosional Velocity</t>
  </si>
  <si>
    <t>Friction factor, f</t>
  </si>
  <si>
    <t>Mach Number at Inlet</t>
  </si>
  <si>
    <t>Iteration</t>
  </si>
  <si>
    <t>Iteration for friction factor -----&gt;</t>
  </si>
  <si>
    <t>Chemical Engineer's Guide</t>
  </si>
  <si>
    <t>CheGuide.com</t>
  </si>
  <si>
    <t>CheGuide</t>
  </si>
  <si>
    <t>9-Aug-2015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</si>
</sst>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[$-14009]dd/mm/yy;@"/>
    <numFmt numFmtId="166" formatCode="0.0000"/>
    <numFmt numFmtId="167" formatCode="0.00000"/>
    <numFmt numFmtId="168" formatCode="0.0"/>
    <numFmt numFmtId="169" formatCode="0.000000"/>
    <numFmt numFmtId="170" formatCode="0.0E+00"/>
    <numFmt numFmtId="171" formatCode="0.0.E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0"/>
      <color rgb="FF000000"/>
      <name val="Arial"/>
      <family val="2"/>
    </font>
    <font>
      <vertAlign val="superscript"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vertAlign val="superscript"/>
      <sz val="11"/>
      <color rgb="FF7030A0"/>
      <name val="Calibri"/>
      <family val="2"/>
      <scheme val="minor"/>
    </font>
    <font>
      <sz val="11"/>
      <color rgb="FF7030A0"/>
      <name val="Calibri"/>
      <family val="2"/>
    </font>
    <font>
      <u/>
      <sz val="11"/>
      <color rgb="FFC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1454817346722"/>
      </bottom>
      <diagonal/>
    </border>
    <border>
      <left/>
      <right/>
      <top/>
      <bottom style="hair">
        <color theme="6" tint="-0.49998474074526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145481734672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164" fontId="0" fillId="0" borderId="0" xfId="0" applyNumberFormat="1"/>
    <xf numFmtId="164" fontId="2" fillId="0" borderId="0" xfId="0" applyNumberFormat="1" applyFont="1" applyAlignment="1" applyProtection="1">
      <alignment vertical="center"/>
    </xf>
    <xf numFmtId="164" fontId="0" fillId="0" borderId="0" xfId="0" applyNumberFormat="1" applyProtection="1"/>
    <xf numFmtId="164" fontId="4" fillId="0" borderId="0" xfId="0" applyNumberFormat="1" applyFont="1" applyBorder="1" applyProtection="1"/>
    <xf numFmtId="164" fontId="5" fillId="0" borderId="0" xfId="0" applyNumberFormat="1" applyFont="1" applyProtection="1"/>
    <xf numFmtId="164" fontId="2" fillId="0" borderId="0" xfId="0" applyNumberFormat="1" applyFont="1" applyAlignment="1" applyProtection="1">
      <alignment horizontal="center" vertical="center"/>
    </xf>
    <xf numFmtId="164" fontId="6" fillId="0" borderId="0" xfId="0" applyNumberFormat="1" applyFont="1" applyAlignment="1">
      <alignment horizontal="right" wrapText="1"/>
    </xf>
    <xf numFmtId="164" fontId="4" fillId="2" borderId="3" xfId="0" applyNumberFormat="1" applyFont="1" applyFill="1" applyBorder="1" applyAlignment="1" applyProtection="1">
      <protection locked="0"/>
    </xf>
    <xf numFmtId="164" fontId="0" fillId="0" borderId="0" xfId="0" applyNumberFormat="1" applyAlignment="1">
      <alignment wrapText="1"/>
    </xf>
    <xf numFmtId="164" fontId="4" fillId="2" borderId="1" xfId="0" applyNumberFormat="1" applyFont="1" applyFill="1" applyBorder="1" applyAlignment="1" applyProtection="1">
      <alignment horizontal="left"/>
      <protection locked="0"/>
    </xf>
    <xf numFmtId="164" fontId="4" fillId="2" borderId="2" xfId="0" applyNumberFormat="1" applyFont="1" applyFill="1" applyBorder="1" applyAlignment="1" applyProtection="1">
      <alignment horizontal="left"/>
      <protection locked="0"/>
    </xf>
    <xf numFmtId="165" fontId="4" fillId="2" borderId="2" xfId="0" applyNumberFormat="1" applyFont="1" applyFill="1" applyBorder="1" applyAlignment="1" applyProtection="1">
      <alignment horizontal="left"/>
      <protection locked="0"/>
    </xf>
    <xf numFmtId="164" fontId="4" fillId="2" borderId="4" xfId="0" applyNumberFormat="1" applyFont="1" applyFill="1" applyBorder="1" applyAlignment="1" applyProtection="1">
      <alignment horizontal="left"/>
      <protection locked="0"/>
    </xf>
    <xf numFmtId="164" fontId="4" fillId="2" borderId="5" xfId="0" applyNumberFormat="1" applyFont="1" applyFill="1" applyBorder="1" applyAlignment="1" applyProtection="1">
      <alignment horizontal="left"/>
      <protection locked="0"/>
    </xf>
    <xf numFmtId="164" fontId="0" fillId="2" borderId="3" xfId="0" applyNumberFormat="1" applyFont="1" applyFill="1" applyBorder="1" applyAlignment="1" applyProtection="1">
      <protection locked="0"/>
    </xf>
    <xf numFmtId="0" fontId="1" fillId="0" borderId="0" xfId="0" applyFont="1"/>
    <xf numFmtId="167" fontId="0" fillId="2" borderId="3" xfId="0" applyNumberFormat="1" applyFont="1" applyFill="1" applyBorder="1" applyAlignment="1" applyProtection="1">
      <protection locked="0"/>
    </xf>
    <xf numFmtId="2" fontId="0" fillId="2" borderId="3" xfId="0" applyNumberFormat="1" applyFont="1" applyFill="1" applyBorder="1" applyAlignment="1" applyProtection="1">
      <protection locked="0"/>
    </xf>
    <xf numFmtId="166" fontId="0" fillId="0" borderId="0" xfId="0" applyNumberFormat="1"/>
    <xf numFmtId="2" fontId="0" fillId="0" borderId="0" xfId="0" applyNumberFormat="1"/>
    <xf numFmtId="168" fontId="0" fillId="0" borderId="0" xfId="0" applyNumberFormat="1"/>
    <xf numFmtId="171" fontId="0" fillId="0" borderId="0" xfId="0" applyNumberFormat="1"/>
    <xf numFmtId="0" fontId="8" fillId="0" borderId="0" xfId="0" applyFont="1"/>
    <xf numFmtId="0" fontId="1" fillId="3" borderId="0" xfId="0" applyFont="1" applyFill="1"/>
    <xf numFmtId="0" fontId="9" fillId="0" borderId="0" xfId="0" applyFont="1" applyBorder="1" applyAlignment="1">
      <alignment horizontal="left"/>
    </xf>
    <xf numFmtId="0" fontId="9" fillId="0" borderId="0" xfId="0" applyFont="1"/>
    <xf numFmtId="164" fontId="0" fillId="4" borderId="6" xfId="0" applyNumberFormat="1" applyFill="1" applyBorder="1"/>
    <xf numFmtId="169" fontId="0" fillId="4" borderId="7" xfId="0" applyNumberFormat="1" applyFill="1" applyBorder="1"/>
    <xf numFmtId="2" fontId="0" fillId="4" borderId="7" xfId="0" applyNumberFormat="1" applyFill="1" applyBorder="1"/>
    <xf numFmtId="170" fontId="0" fillId="4" borderId="7" xfId="0" applyNumberFormat="1" applyFont="1" applyFill="1" applyBorder="1" applyAlignment="1" applyProtection="1">
      <protection locked="0"/>
    </xf>
    <xf numFmtId="2" fontId="0" fillId="4" borderId="6" xfId="0" applyNumberFormat="1" applyFill="1" applyBorder="1"/>
    <xf numFmtId="0" fontId="0" fillId="4" borderId="6" xfId="0" applyFill="1" applyBorder="1"/>
    <xf numFmtId="164" fontId="0" fillId="4" borderId="7" xfId="0" applyNumberFormat="1" applyFill="1" applyBorder="1"/>
    <xf numFmtId="1" fontId="0" fillId="4" borderId="7" xfId="0" applyNumberFormat="1" applyFill="1" applyBorder="1"/>
    <xf numFmtId="167" fontId="0" fillId="4" borderId="7" xfId="0" applyNumberFormat="1" applyFill="1" applyBorder="1"/>
    <xf numFmtId="168" fontId="0" fillId="4" borderId="6" xfId="0" applyNumberFormat="1" applyFill="1" applyBorder="1"/>
    <xf numFmtId="166" fontId="0" fillId="4" borderId="7" xfId="0" applyNumberFormat="1" applyFill="1" applyBorder="1"/>
    <xf numFmtId="170" fontId="0" fillId="4" borderId="6" xfId="0" applyNumberFormat="1" applyFont="1" applyFill="1" applyBorder="1" applyAlignment="1" applyProtection="1">
      <protection locked="0"/>
    </xf>
    <xf numFmtId="168" fontId="0" fillId="2" borderId="8" xfId="0" applyNumberFormat="1" applyFont="1" applyFill="1" applyBorder="1" applyAlignment="1" applyProtection="1">
      <protection locked="0"/>
    </xf>
    <xf numFmtId="2" fontId="0" fillId="0" borderId="0" xfId="0" applyNumberFormat="1" applyFill="1" applyBorder="1"/>
    <xf numFmtId="0" fontId="12" fillId="0" borderId="0" xfId="0" applyFont="1" applyAlignment="1">
      <alignment horizontal="center"/>
    </xf>
    <xf numFmtId="0" fontId="13" fillId="0" borderId="0" xfId="0" applyFont="1"/>
    <xf numFmtId="167" fontId="0" fillId="0" borderId="0" xfId="0" applyNumberFormat="1"/>
    <xf numFmtId="168" fontId="0" fillId="4" borderId="0" xfId="0" applyNumberFormat="1" applyFill="1" applyBorder="1"/>
    <xf numFmtId="0" fontId="4" fillId="0" borderId="0" xfId="0" applyFont="1"/>
    <xf numFmtId="168" fontId="0" fillId="4" borderId="7" xfId="0" applyNumberFormat="1" applyFill="1" applyBorder="1"/>
    <xf numFmtId="164" fontId="2" fillId="0" borderId="0" xfId="0" applyNumberFormat="1" applyFont="1" applyAlignment="1" applyProtection="1">
      <alignment horizontal="center" vertical="center"/>
    </xf>
    <xf numFmtId="164" fontId="3" fillId="0" borderId="0" xfId="1" applyNumberFormat="1" applyProtection="1"/>
    <xf numFmtId="165" fontId="4" fillId="2" borderId="1" xfId="0" quotePrefix="1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C3C3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e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V153"/>
  <sheetViews>
    <sheetView showGridLines="0" tabSelected="1" zoomScaleNormal="100" zoomScaleSheetLayoutView="100" workbookViewId="0">
      <selection activeCell="J10" sqref="J10"/>
    </sheetView>
  </sheetViews>
  <sheetFormatPr defaultRowHeight="15" x14ac:dyDescent="0.25"/>
  <cols>
    <col min="1" max="1" width="2.7109375" customWidth="1"/>
    <col min="3" max="3" width="10" customWidth="1"/>
    <col min="5" max="5" width="9.5703125" bestFit="1" customWidth="1"/>
    <col min="6" max="6" width="11" customWidth="1"/>
    <col min="7" max="7" width="10.42578125" customWidth="1"/>
    <col min="8" max="8" width="9.140625" customWidth="1"/>
    <col min="9" max="9" width="11.140625" customWidth="1"/>
    <col min="10" max="10" width="11.7109375" customWidth="1"/>
  </cols>
  <sheetData>
    <row r="1" spans="2:11" x14ac:dyDescent="0.25">
      <c r="B1" s="1"/>
      <c r="C1" s="1"/>
      <c r="D1" s="1"/>
      <c r="E1" s="1"/>
      <c r="F1" s="1"/>
      <c r="G1" s="1"/>
      <c r="H1" s="1"/>
    </row>
    <row r="2" spans="2:11" ht="18.75" x14ac:dyDescent="0.25">
      <c r="B2" s="47" t="s">
        <v>4</v>
      </c>
      <c r="C2" s="47"/>
      <c r="D2" s="47"/>
      <c r="E2" s="47"/>
      <c r="F2" s="47"/>
      <c r="G2" s="47"/>
      <c r="H2" s="47"/>
      <c r="I2" s="47"/>
      <c r="J2" s="2"/>
    </row>
    <row r="3" spans="2:11" ht="18.75" x14ac:dyDescent="0.25">
      <c r="B3" s="6"/>
      <c r="C3" s="6"/>
      <c r="D3" s="6"/>
      <c r="E3" s="6"/>
      <c r="F3" s="6"/>
      <c r="G3" s="6"/>
      <c r="H3" s="6"/>
      <c r="I3" s="6"/>
      <c r="J3" s="2"/>
    </row>
    <row r="4" spans="2:11" x14ac:dyDescent="0.25">
      <c r="B4" s="48" t="s">
        <v>86</v>
      </c>
      <c r="C4" s="3"/>
      <c r="D4" s="3"/>
      <c r="E4" s="3"/>
      <c r="G4" s="4" t="s">
        <v>6</v>
      </c>
      <c r="I4" s="10" t="s">
        <v>7</v>
      </c>
      <c r="J4" s="11"/>
    </row>
    <row r="5" spans="2:11" x14ac:dyDescent="0.25">
      <c r="B5" s="5" t="s">
        <v>85</v>
      </c>
      <c r="C5" s="3"/>
      <c r="D5" s="3"/>
      <c r="E5" s="3"/>
      <c r="G5" s="4" t="s">
        <v>0</v>
      </c>
      <c r="I5" s="10" t="s">
        <v>5</v>
      </c>
      <c r="J5" s="11"/>
    </row>
    <row r="6" spans="2:11" x14ac:dyDescent="0.25">
      <c r="B6" s="3"/>
      <c r="C6" s="3"/>
      <c r="D6" s="3"/>
      <c r="E6" s="3"/>
      <c r="G6" s="4" t="s">
        <v>1</v>
      </c>
      <c r="I6" s="49" t="s">
        <v>88</v>
      </c>
      <c r="J6" s="12"/>
    </row>
    <row r="7" spans="2:11" ht="15" customHeight="1" x14ac:dyDescent="0.25">
      <c r="B7" s="7" t="s">
        <v>2</v>
      </c>
      <c r="C7" s="8"/>
      <c r="D7" s="9"/>
      <c r="E7" s="9"/>
      <c r="G7" s="4" t="s">
        <v>3</v>
      </c>
      <c r="I7" s="13" t="s">
        <v>87</v>
      </c>
      <c r="J7" s="14"/>
    </row>
    <row r="9" spans="2:11" x14ac:dyDescent="0.25">
      <c r="E9" s="41" t="s">
        <v>67</v>
      </c>
      <c r="F9" s="42"/>
      <c r="G9" s="42"/>
      <c r="H9" s="41" t="s">
        <v>66</v>
      </c>
    </row>
    <row r="10" spans="2:11" x14ac:dyDescent="0.25">
      <c r="B10" s="16" t="s">
        <v>8</v>
      </c>
    </row>
    <row r="11" spans="2:11" x14ac:dyDescent="0.25">
      <c r="B11" t="s">
        <v>10</v>
      </c>
      <c r="E11" s="15">
        <v>80</v>
      </c>
      <c r="F11" s="25" t="s">
        <v>9</v>
      </c>
      <c r="H11" s="27">
        <f>E11/25.4</f>
        <v>3.1496062992125986</v>
      </c>
      <c r="I11" s="25" t="s">
        <v>21</v>
      </c>
    </row>
    <row r="12" spans="2:11" x14ac:dyDescent="0.25">
      <c r="B12" t="s">
        <v>11</v>
      </c>
      <c r="E12" s="17">
        <v>1.8E-3</v>
      </c>
      <c r="F12" s="25" t="s">
        <v>9</v>
      </c>
      <c r="H12" s="28">
        <f>E12/25.4</f>
        <v>7.0866141732283471E-5</v>
      </c>
      <c r="I12" s="25" t="s">
        <v>21</v>
      </c>
    </row>
    <row r="13" spans="2:11" x14ac:dyDescent="0.25">
      <c r="B13" t="s">
        <v>12</v>
      </c>
      <c r="E13" s="39">
        <v>100</v>
      </c>
      <c r="F13" s="25" t="s">
        <v>13</v>
      </c>
      <c r="H13" s="29">
        <f>E13/0.3048</f>
        <v>328.08398950131232</v>
      </c>
      <c r="I13" s="25" t="s">
        <v>22</v>
      </c>
    </row>
    <row r="14" spans="2:11" x14ac:dyDescent="0.25">
      <c r="B14" t="s">
        <v>40</v>
      </c>
      <c r="E14" s="38">
        <f>E12/E11</f>
        <v>2.2499999999999998E-5</v>
      </c>
      <c r="H14" s="30">
        <f>H12/H11</f>
        <v>2.2500000000000001E-5</v>
      </c>
    </row>
    <row r="15" spans="2:11" x14ac:dyDescent="0.25">
      <c r="K15" s="40"/>
    </row>
    <row r="16" spans="2:11" x14ac:dyDescent="0.25">
      <c r="B16" s="16" t="s">
        <v>14</v>
      </c>
    </row>
    <row r="17" spans="2:9" x14ac:dyDescent="0.25">
      <c r="B17" t="s">
        <v>15</v>
      </c>
      <c r="E17" s="18">
        <v>7</v>
      </c>
      <c r="F17" s="25" t="s">
        <v>16</v>
      </c>
      <c r="H17" s="31">
        <f>E17*14.503774</f>
        <v>101.52641800000001</v>
      </c>
      <c r="I17" s="25" t="s">
        <v>23</v>
      </c>
    </row>
    <row r="18" spans="2:9" x14ac:dyDescent="0.25">
      <c r="B18" t="s">
        <v>17</v>
      </c>
      <c r="E18" s="18">
        <v>6.7</v>
      </c>
      <c r="F18" s="25" t="s">
        <v>16</v>
      </c>
      <c r="H18" s="29">
        <f>E18*14.503774</f>
        <v>97.175285799999997</v>
      </c>
      <c r="I18" s="25" t="s">
        <v>23</v>
      </c>
    </row>
    <row r="19" spans="2:9" x14ac:dyDescent="0.25">
      <c r="B19" t="s">
        <v>78</v>
      </c>
      <c r="E19" s="18">
        <v>25</v>
      </c>
      <c r="F19" s="25" t="s">
        <v>27</v>
      </c>
      <c r="H19" s="29">
        <f>E19*9/5+32</f>
        <v>77</v>
      </c>
      <c r="I19" s="25" t="s">
        <v>26</v>
      </c>
    </row>
    <row r="20" spans="2:9" x14ac:dyDescent="0.25">
      <c r="B20" t="s">
        <v>18</v>
      </c>
      <c r="E20" s="18">
        <v>29</v>
      </c>
      <c r="F20" s="25"/>
      <c r="I20" s="25"/>
    </row>
    <row r="21" spans="2:9" x14ac:dyDescent="0.25">
      <c r="B21" t="s">
        <v>37</v>
      </c>
      <c r="E21" s="15">
        <v>0.01</v>
      </c>
      <c r="F21" s="25" t="s">
        <v>38</v>
      </c>
      <c r="H21" s="32">
        <f>E21/1488.1639</f>
        <v>6.7196899481300413E-6</v>
      </c>
      <c r="I21" s="25" t="s">
        <v>39</v>
      </c>
    </row>
    <row r="22" spans="2:9" x14ac:dyDescent="0.25">
      <c r="B22" t="s">
        <v>19</v>
      </c>
      <c r="E22" s="18">
        <v>1.35</v>
      </c>
    </row>
    <row r="23" spans="2:9" x14ac:dyDescent="0.25">
      <c r="B23" t="s">
        <v>20</v>
      </c>
      <c r="E23" s="18">
        <v>0.95</v>
      </c>
    </row>
    <row r="26" spans="2:9" x14ac:dyDescent="0.25">
      <c r="B26" s="16" t="s">
        <v>68</v>
      </c>
    </row>
    <row r="27" spans="2:9" ht="17.25" x14ac:dyDescent="0.25">
      <c r="B27" t="s">
        <v>25</v>
      </c>
      <c r="E27" s="31">
        <f>(E17*E20)/((E19+273.15)*E23*0.0831447)</f>
        <v>8.6199162897574659</v>
      </c>
      <c r="F27" s="25" t="s">
        <v>77</v>
      </c>
      <c r="H27" s="27">
        <f>($H$17*$E$20)/(($H$19+459.67)*$E$23*10.7316)</f>
        <v>0.538123131645598</v>
      </c>
      <c r="I27" s="26" t="s">
        <v>75</v>
      </c>
    </row>
    <row r="28" spans="2:9" ht="17.25" x14ac:dyDescent="0.25">
      <c r="B28" t="s">
        <v>28</v>
      </c>
      <c r="E28" s="35">
        <f>PI()*(E11/2000)^2</f>
        <v>5.0265482457436689E-3</v>
      </c>
      <c r="F28" s="25" t="s">
        <v>76</v>
      </c>
      <c r="H28" s="33">
        <f>PI()*(H11/24)^2</f>
        <v>5.4105315022454255E-2</v>
      </c>
      <c r="I28" s="26" t="s">
        <v>74</v>
      </c>
    </row>
    <row r="29" spans="2:9" x14ac:dyDescent="0.25">
      <c r="B29" t="s">
        <v>59</v>
      </c>
      <c r="E29" s="33">
        <f>H29*0.3048</f>
        <v>21.704618570094805</v>
      </c>
      <c r="F29" s="25" t="s">
        <v>60</v>
      </c>
      <c r="H29" s="29">
        <f>D140</f>
        <v>71.209378510809728</v>
      </c>
      <c r="I29" s="26" t="s">
        <v>35</v>
      </c>
    </row>
    <row r="30" spans="2:9" x14ac:dyDescent="0.25">
      <c r="B30" t="s">
        <v>57</v>
      </c>
      <c r="E30" s="34">
        <f>IF(D147,H30/2.2046226*3600,"")</f>
        <v>3385.5328490928305</v>
      </c>
      <c r="F30" s="25" t="s">
        <v>48</v>
      </c>
      <c r="H30" s="33">
        <f>IF($D$147,D145,"")</f>
        <v>2.0732839533756788</v>
      </c>
      <c r="I30" s="26" t="s">
        <v>31</v>
      </c>
    </row>
    <row r="31" spans="2:9" ht="17.25" x14ac:dyDescent="0.25">
      <c r="B31" t="s">
        <v>56</v>
      </c>
      <c r="E31" s="46">
        <f>IF(D147,E30/E27,"")</f>
        <v>392.75704488170703</v>
      </c>
      <c r="F31" s="25" t="s">
        <v>70</v>
      </c>
      <c r="H31" s="46">
        <f>IF($D$147,H30*60/H27,"")</f>
        <v>231.16835141825356</v>
      </c>
      <c r="I31" s="26" t="s">
        <v>73</v>
      </c>
    </row>
    <row r="32" spans="2:9" ht="17.25" x14ac:dyDescent="0.25">
      <c r="E32" s="46">
        <f xml:space="preserve"> IF(D147,(E17*E31/(E19+273.15))*(273.15/1.01325),"")</f>
        <v>2485.8321609496506</v>
      </c>
      <c r="F32" s="25" t="s">
        <v>71</v>
      </c>
      <c r="H32" s="46">
        <f>IF(D147,(H31*H17/(H19+459.67))*(60+459.67)/14.7,"")</f>
        <v>1546.0033562317701</v>
      </c>
      <c r="I32" s="26" t="s">
        <v>72</v>
      </c>
    </row>
    <row r="34" spans="2:9" x14ac:dyDescent="0.25">
      <c r="B34" t="s">
        <v>61</v>
      </c>
      <c r="E34" s="36">
        <f>IF(D147,H34*0.3048,"")</f>
        <v>331.23767704879276</v>
      </c>
      <c r="F34" s="26" t="s">
        <v>60</v>
      </c>
      <c r="H34" s="36">
        <f>IF(D147,E149,"")</f>
        <v>1086.737785593152</v>
      </c>
      <c r="I34" s="26" t="s">
        <v>35</v>
      </c>
    </row>
    <row r="35" spans="2:9" x14ac:dyDescent="0.25">
      <c r="B35" t="s">
        <v>80</v>
      </c>
      <c r="E35" s="36">
        <f>IF(D147,H35*0.3048,"")</f>
        <v>41.550296975763153</v>
      </c>
      <c r="F35" s="26" t="s">
        <v>60</v>
      </c>
      <c r="H35" s="44">
        <f>IF(D147,E153)</f>
        <v>136.31987196772687</v>
      </c>
      <c r="I35" s="26" t="s">
        <v>35</v>
      </c>
    </row>
    <row r="36" spans="2:9" x14ac:dyDescent="0.25">
      <c r="B36" t="s">
        <v>82</v>
      </c>
      <c r="E36" s="37">
        <f>IF(D147,K149,"")</f>
        <v>6.5525814464933649E-2</v>
      </c>
      <c r="H36" s="19"/>
    </row>
    <row r="37" spans="2:9" x14ac:dyDescent="0.25">
      <c r="B37" t="s">
        <v>36</v>
      </c>
      <c r="E37" s="34">
        <f>IF(D147,D141,"")</f>
        <v>1496734.0744586773</v>
      </c>
    </row>
    <row r="38" spans="2:9" x14ac:dyDescent="0.25">
      <c r="B38" t="s">
        <v>81</v>
      </c>
      <c r="E38" s="37">
        <f>IF(D147,D144,"")</f>
        <v>1.1497063754957211E-2</v>
      </c>
    </row>
    <row r="45" spans="2:9" x14ac:dyDescent="0.25">
      <c r="B45" s="16" t="s">
        <v>24</v>
      </c>
    </row>
    <row r="46" spans="2:9" x14ac:dyDescent="0.25">
      <c r="B46" s="16"/>
    </row>
    <row r="47" spans="2:9" x14ac:dyDescent="0.25">
      <c r="B47" s="23" t="s">
        <v>29</v>
      </c>
    </row>
    <row r="48" spans="2:9" x14ac:dyDescent="0.25">
      <c r="B48" t="s">
        <v>30</v>
      </c>
      <c r="D48">
        <v>0.5</v>
      </c>
      <c r="E48" t="s">
        <v>31</v>
      </c>
    </row>
    <row r="49" spans="2:22" x14ac:dyDescent="0.25">
      <c r="B49" t="s">
        <v>32</v>
      </c>
      <c r="D49" s="21">
        <f>D48/$H$27</f>
        <v>0.9291553746648723</v>
      </c>
      <c r="E49" t="s">
        <v>33</v>
      </c>
    </row>
    <row r="50" spans="2:22" x14ac:dyDescent="0.25">
      <c r="B50" t="s">
        <v>34</v>
      </c>
      <c r="D50" s="21">
        <f>D49/($H$28)</f>
        <v>17.173088711880958</v>
      </c>
      <c r="E50" t="s">
        <v>35</v>
      </c>
    </row>
    <row r="51" spans="2:22" x14ac:dyDescent="0.25">
      <c r="B51" t="s">
        <v>36</v>
      </c>
      <c r="D51" s="22">
        <f>($H$11/12)*D50*$H$27/$H$21</f>
        <v>360957.32860345149</v>
      </c>
      <c r="G51" s="45" t="s">
        <v>84</v>
      </c>
    </row>
    <row r="52" spans="2:22" x14ac:dyDescent="0.25">
      <c r="B52" t="s">
        <v>83</v>
      </c>
      <c r="C52">
        <v>1</v>
      </c>
      <c r="D52">
        <v>2</v>
      </c>
      <c r="E52">
        <v>3</v>
      </c>
      <c r="F52">
        <v>4</v>
      </c>
      <c r="G52">
        <v>5</v>
      </c>
      <c r="H52">
        <v>6</v>
      </c>
      <c r="I52">
        <v>7</v>
      </c>
      <c r="J52">
        <v>8</v>
      </c>
      <c r="K52">
        <v>9</v>
      </c>
      <c r="L52">
        <v>10</v>
      </c>
      <c r="M52">
        <v>11</v>
      </c>
      <c r="N52">
        <v>12</v>
      </c>
      <c r="O52">
        <v>13</v>
      </c>
      <c r="P52">
        <v>14</v>
      </c>
      <c r="Q52">
        <v>15</v>
      </c>
      <c r="R52">
        <v>16</v>
      </c>
      <c r="S52">
        <v>17</v>
      </c>
      <c r="T52">
        <v>18</v>
      </c>
      <c r="U52">
        <v>19</v>
      </c>
      <c r="V52">
        <v>20</v>
      </c>
    </row>
    <row r="53" spans="2:22" x14ac:dyDescent="0.25">
      <c r="B53" t="s">
        <v>41</v>
      </c>
      <c r="C53">
        <f>64/D51</f>
        <v>1.7730627674915708E-4</v>
      </c>
      <c r="D53" s="43">
        <f t="shared" ref="D53:V53" si="0">1/((-2*LOG10(( ($H$14/3.7)+(2.51/($D$51*SQRT(C53))))))^2)</f>
        <v>2.3278571188948462E-2</v>
      </c>
      <c r="E53" s="43">
        <f t="shared" si="0"/>
        <v>1.360379182879424E-2</v>
      </c>
      <c r="F53" s="43">
        <f t="shared" si="0"/>
        <v>1.4291650789122494E-2</v>
      </c>
      <c r="G53" s="43">
        <f t="shared" si="0"/>
        <v>1.4225530963781707E-2</v>
      </c>
      <c r="H53" s="43">
        <f t="shared" si="0"/>
        <v>1.4231720793877143E-2</v>
      </c>
      <c r="I53" s="43">
        <f t="shared" si="0"/>
        <v>1.4231139882129436E-2</v>
      </c>
      <c r="J53" s="43">
        <f t="shared" si="0"/>
        <v>1.4231194387575896E-2</v>
      </c>
      <c r="K53" s="43">
        <f t="shared" si="0"/>
        <v>1.4231189273358504E-2</v>
      </c>
      <c r="L53" s="43">
        <f t="shared" si="0"/>
        <v>1.4231189753221841E-2</v>
      </c>
      <c r="M53" s="43">
        <f t="shared" si="0"/>
        <v>1.4231189708196602E-2</v>
      </c>
      <c r="N53" s="43">
        <f t="shared" si="0"/>
        <v>1.4231189712421287E-2</v>
      </c>
      <c r="O53" s="43">
        <f t="shared" si="0"/>
        <v>1.4231189712024887E-2</v>
      </c>
      <c r="P53" s="43">
        <f t="shared" si="0"/>
        <v>1.4231189712062083E-2</v>
      </c>
      <c r="Q53" s="43">
        <f t="shared" si="0"/>
        <v>1.4231189712058591E-2</v>
      </c>
      <c r="R53" s="43">
        <f t="shared" si="0"/>
        <v>1.4231189712058922E-2</v>
      </c>
      <c r="S53" s="43">
        <f t="shared" si="0"/>
        <v>1.4231189712058888E-2</v>
      </c>
      <c r="T53" s="43">
        <f t="shared" si="0"/>
        <v>1.4231189712058893E-2</v>
      </c>
      <c r="U53" s="43">
        <f t="shared" si="0"/>
        <v>1.4231189712058893E-2</v>
      </c>
      <c r="V53" s="43">
        <f t="shared" si="0"/>
        <v>1.4231189712058893E-2</v>
      </c>
    </row>
    <row r="54" spans="2:22" x14ac:dyDescent="0.25">
      <c r="B54" t="s">
        <v>43</v>
      </c>
      <c r="D54">
        <f>IF(D51&lt;=2100,C53,V53)</f>
        <v>1.4231189712058893E-2</v>
      </c>
    </row>
    <row r="55" spans="2:22" x14ac:dyDescent="0.25">
      <c r="B55" t="s">
        <v>44</v>
      </c>
      <c r="D55" s="20">
        <f>SQRT(((144*32.174*($H$28)^2*$H$27)/(D54*($H$13/($H$11/12))+2*LN($H$17/$H$18)))*(($H$17^2-$H$18^2)/$H$17))</f>
        <v>1.8645952319222932</v>
      </c>
      <c r="E55" t="s">
        <v>31</v>
      </c>
    </row>
    <row r="57" spans="2:22" x14ac:dyDescent="0.25">
      <c r="B57" s="23" t="s">
        <v>45</v>
      </c>
    </row>
    <row r="58" spans="2:22" x14ac:dyDescent="0.25">
      <c r="B58" t="s">
        <v>30</v>
      </c>
      <c r="D58" s="20">
        <f>D55</f>
        <v>1.8645952319222932</v>
      </c>
      <c r="E58" t="s">
        <v>31</v>
      </c>
    </row>
    <row r="59" spans="2:22" x14ac:dyDescent="0.25">
      <c r="B59" t="s">
        <v>32</v>
      </c>
      <c r="D59" s="21">
        <f>D58/$H$27</f>
        <v>3.4649973626301853</v>
      </c>
      <c r="E59" t="s">
        <v>33</v>
      </c>
    </row>
    <row r="60" spans="2:22" x14ac:dyDescent="0.25">
      <c r="B60" t="s">
        <v>34</v>
      </c>
      <c r="D60" s="21">
        <f>D59/($H$28)</f>
        <v>64.041718659103566</v>
      </c>
      <c r="E60" t="s">
        <v>35</v>
      </c>
    </row>
    <row r="61" spans="2:22" x14ac:dyDescent="0.25">
      <c r="B61" t="s">
        <v>36</v>
      </c>
      <c r="D61" s="22">
        <f>($H$11/12)*D60*$H$27/$H$21</f>
        <v>1346078.6276828079</v>
      </c>
      <c r="G61" s="45" t="s">
        <v>84</v>
      </c>
    </row>
    <row r="62" spans="2:22" x14ac:dyDescent="0.25">
      <c r="B62" t="s">
        <v>42</v>
      </c>
      <c r="C62">
        <v>1</v>
      </c>
      <c r="D62">
        <v>2</v>
      </c>
      <c r="E62">
        <v>3</v>
      </c>
      <c r="F62">
        <v>4</v>
      </c>
      <c r="G62">
        <v>5</v>
      </c>
      <c r="H62">
        <v>6</v>
      </c>
      <c r="I62">
        <v>7</v>
      </c>
      <c r="J62">
        <v>8</v>
      </c>
      <c r="K62">
        <v>9</v>
      </c>
      <c r="L62">
        <v>10</v>
      </c>
      <c r="M62">
        <v>11</v>
      </c>
      <c r="N62">
        <v>12</v>
      </c>
      <c r="O62">
        <v>13</v>
      </c>
      <c r="P62">
        <v>14</v>
      </c>
      <c r="Q62">
        <v>15</v>
      </c>
      <c r="R62">
        <v>16</v>
      </c>
      <c r="S62">
        <v>17</v>
      </c>
      <c r="T62">
        <v>18</v>
      </c>
      <c r="U62">
        <v>19</v>
      </c>
      <c r="V62">
        <v>20</v>
      </c>
    </row>
    <row r="63" spans="2:22" x14ac:dyDescent="0.25">
      <c r="B63" t="s">
        <v>41</v>
      </c>
      <c r="C63">
        <f>64/D61</f>
        <v>4.754551382349194E-5</v>
      </c>
      <c r="D63" s="43">
        <f t="shared" ref="D63:V63" si="1">1/((-2*LOG10(( ($H$14/3.7)+(2.51/($D$61*SQRT(C63))))))^2)</f>
        <v>1.9744967944596716E-2</v>
      </c>
      <c r="E63" s="43">
        <f t="shared" si="1"/>
        <v>1.1253596286808241E-2</v>
      </c>
      <c r="F63" s="43">
        <f t="shared" si="1"/>
        <v>1.168225553418803E-2</v>
      </c>
      <c r="G63" s="43">
        <f t="shared" si="1"/>
        <v>1.1651926646037793E-2</v>
      </c>
      <c r="H63" s="43">
        <f t="shared" si="1"/>
        <v>1.165402705953046E-2</v>
      </c>
      <c r="I63" s="43">
        <f t="shared" si="1"/>
        <v>1.165388137896394E-2</v>
      </c>
      <c r="J63" s="43">
        <f t="shared" si="1"/>
        <v>1.1653891482036849E-2</v>
      </c>
      <c r="K63" s="43">
        <f t="shared" si="1"/>
        <v>1.1653890781375003E-2</v>
      </c>
      <c r="L63" s="43">
        <f t="shared" si="1"/>
        <v>1.1653890829966826E-2</v>
      </c>
      <c r="M63" s="43">
        <f t="shared" si="1"/>
        <v>1.1653890826596921E-2</v>
      </c>
      <c r="N63" s="43">
        <f t="shared" si="1"/>
        <v>1.1653890826830632E-2</v>
      </c>
      <c r="O63" s="43">
        <f t="shared" si="1"/>
        <v>1.1653890826814421E-2</v>
      </c>
      <c r="P63" s="43">
        <f t="shared" si="1"/>
        <v>1.1653890826815547E-2</v>
      </c>
      <c r="Q63" s="43">
        <f t="shared" si="1"/>
        <v>1.1653890826815467E-2</v>
      </c>
      <c r="R63" s="43">
        <f t="shared" si="1"/>
        <v>1.1653890826815474E-2</v>
      </c>
      <c r="S63" s="43">
        <f t="shared" si="1"/>
        <v>1.165389082681547E-2</v>
      </c>
      <c r="T63" s="43">
        <f t="shared" si="1"/>
        <v>1.1653890826815474E-2</v>
      </c>
      <c r="U63" s="43">
        <f t="shared" si="1"/>
        <v>1.165389082681547E-2</v>
      </c>
      <c r="V63" s="43">
        <f t="shared" si="1"/>
        <v>1.1653890826815474E-2</v>
      </c>
    </row>
    <row r="64" spans="2:22" x14ac:dyDescent="0.25">
      <c r="B64" t="s">
        <v>43</v>
      </c>
      <c r="D64">
        <f>IF(D61&lt;=2100,C63,V63)</f>
        <v>1.1653890826815474E-2</v>
      </c>
    </row>
    <row r="65" spans="2:22" x14ac:dyDescent="0.25">
      <c r="B65" t="s">
        <v>44</v>
      </c>
      <c r="D65" s="20">
        <f>SQRT(((144*32.174*($H$28)^2*$H$27)/(D64*($H$13/($H$11/12))+2*LN($H$17/$H$18)))*(($H$17^2-$H$18^2)/$H$17))</f>
        <v>2.0593705099283328</v>
      </c>
      <c r="E65" t="s">
        <v>31</v>
      </c>
    </row>
    <row r="67" spans="2:22" x14ac:dyDescent="0.25">
      <c r="B67" s="23" t="s">
        <v>46</v>
      </c>
    </row>
    <row r="68" spans="2:22" x14ac:dyDescent="0.25">
      <c r="B68" t="s">
        <v>30</v>
      </c>
      <c r="D68" s="20">
        <f>D65</f>
        <v>2.0593705099283328</v>
      </c>
      <c r="E68" t="s">
        <v>31</v>
      </c>
    </row>
    <row r="69" spans="2:22" x14ac:dyDescent="0.25">
      <c r="B69" t="s">
        <v>32</v>
      </c>
      <c r="D69" s="21">
        <f>D68/$H$27</f>
        <v>3.8269503554524982</v>
      </c>
      <c r="E69" t="s">
        <v>33</v>
      </c>
    </row>
    <row r="70" spans="2:22" x14ac:dyDescent="0.25">
      <c r="B70" t="s">
        <v>34</v>
      </c>
      <c r="D70" s="21">
        <f>D69/($H$28)</f>
        <v>70.731504915261553</v>
      </c>
      <c r="E70" t="s">
        <v>35</v>
      </c>
    </row>
    <row r="71" spans="2:22" x14ac:dyDescent="0.25">
      <c r="B71" t="s">
        <v>36</v>
      </c>
      <c r="D71" s="22">
        <f>($H$11/12)*D70*$H$27/$H$21</f>
        <v>1486689.7557369173</v>
      </c>
      <c r="G71" s="45" t="s">
        <v>84</v>
      </c>
    </row>
    <row r="72" spans="2:22" x14ac:dyDescent="0.25">
      <c r="B72" t="s">
        <v>42</v>
      </c>
      <c r="C72">
        <v>1</v>
      </c>
      <c r="D72">
        <v>2</v>
      </c>
      <c r="E72">
        <v>3</v>
      </c>
      <c r="F72">
        <v>4</v>
      </c>
      <c r="G72">
        <v>5</v>
      </c>
      <c r="H72">
        <v>6</v>
      </c>
      <c r="I72">
        <v>7</v>
      </c>
      <c r="J72">
        <v>8</v>
      </c>
      <c r="K72">
        <v>9</v>
      </c>
      <c r="L72">
        <v>10</v>
      </c>
      <c r="M72">
        <v>11</v>
      </c>
      <c r="N72">
        <v>12</v>
      </c>
      <c r="O72">
        <v>13</v>
      </c>
      <c r="P72">
        <v>14</v>
      </c>
      <c r="Q72">
        <v>15</v>
      </c>
      <c r="R72">
        <v>16</v>
      </c>
      <c r="S72">
        <v>17</v>
      </c>
      <c r="T72">
        <v>18</v>
      </c>
      <c r="U72">
        <v>19</v>
      </c>
      <c r="V72">
        <v>20</v>
      </c>
    </row>
    <row r="73" spans="2:22" x14ac:dyDescent="0.25">
      <c r="B73" t="s">
        <v>41</v>
      </c>
      <c r="C73">
        <f>64/D71</f>
        <v>4.3048658775668163E-5</v>
      </c>
      <c r="D73" s="43">
        <f t="shared" ref="D73:V73" si="2">1/((-2*LOG10(( ($H$14/3.7)+(2.51/($D$71*SQRT(C73))))))^2)</f>
        <v>1.9512989226498283E-2</v>
      </c>
      <c r="E73" s="43">
        <f t="shared" si="2"/>
        <v>1.112380647318215E-2</v>
      </c>
      <c r="F73" s="43">
        <f t="shared" si="2"/>
        <v>1.1533093125790849E-2</v>
      </c>
      <c r="G73" s="43">
        <f t="shared" si="2"/>
        <v>1.1505044179547093E-2</v>
      </c>
      <c r="H73" s="43">
        <f t="shared" si="2"/>
        <v>1.1506926768295978E-2</v>
      </c>
      <c r="I73" s="43">
        <f t="shared" si="2"/>
        <v>1.150680023461112E-2</v>
      </c>
      <c r="J73" s="43">
        <f t="shared" si="2"/>
        <v>1.1506808738464274E-2</v>
      </c>
      <c r="K73" s="43">
        <f t="shared" si="2"/>
        <v>1.1506808166948644E-2</v>
      </c>
      <c r="L73" s="43">
        <f t="shared" si="2"/>
        <v>1.150680820535829E-2</v>
      </c>
      <c r="M73" s="43">
        <f t="shared" si="2"/>
        <v>1.1506808202776907E-2</v>
      </c>
      <c r="N73" s="43">
        <f t="shared" si="2"/>
        <v>1.1506808202950395E-2</v>
      </c>
      <c r="O73" s="43">
        <f t="shared" si="2"/>
        <v>1.1506808202938734E-2</v>
      </c>
      <c r="P73" s="43">
        <f t="shared" si="2"/>
        <v>1.150680820293952E-2</v>
      </c>
      <c r="Q73" s="43">
        <f t="shared" si="2"/>
        <v>1.1506808202939462E-2</v>
      </c>
      <c r="R73" s="43">
        <f t="shared" si="2"/>
        <v>1.1506808202939466E-2</v>
      </c>
      <c r="S73" s="43">
        <f t="shared" si="2"/>
        <v>1.1506808202939466E-2</v>
      </c>
      <c r="T73" s="43">
        <f t="shared" si="2"/>
        <v>1.1506808202939466E-2</v>
      </c>
      <c r="U73" s="43">
        <f t="shared" si="2"/>
        <v>1.1506808202939466E-2</v>
      </c>
      <c r="V73" s="43">
        <f t="shared" si="2"/>
        <v>1.1506808202939466E-2</v>
      </c>
    </row>
    <row r="74" spans="2:22" x14ac:dyDescent="0.25">
      <c r="B74" t="s">
        <v>43</v>
      </c>
      <c r="D74">
        <f>IF(D71&lt;=2100,C73,V73)</f>
        <v>1.1506808202939466E-2</v>
      </c>
    </row>
    <row r="75" spans="2:22" x14ac:dyDescent="0.25">
      <c r="B75" t="s">
        <v>44</v>
      </c>
      <c r="D75" s="20">
        <f>SQRT(((144*32.174*($H$28)^2*$H$27)/(D74*($H$13/($H$11/12))+2*LN($H$17/$H$18)))*(($H$17^2-$H$18^2)/$H$17))</f>
        <v>2.0724112122278457</v>
      </c>
      <c r="E75" t="s">
        <v>31</v>
      </c>
    </row>
    <row r="77" spans="2:22" x14ac:dyDescent="0.25">
      <c r="B77" s="23" t="s">
        <v>47</v>
      </c>
    </row>
    <row r="78" spans="2:22" x14ac:dyDescent="0.25">
      <c r="B78" t="s">
        <v>30</v>
      </c>
      <c r="D78" s="20">
        <f>D75</f>
        <v>2.0724112122278457</v>
      </c>
      <c r="E78" t="s">
        <v>31</v>
      </c>
    </row>
    <row r="79" spans="2:22" x14ac:dyDescent="0.25">
      <c r="B79" t="s">
        <v>32</v>
      </c>
      <c r="D79" s="21">
        <f>D78/$H$27</f>
        <v>3.8511840327144924</v>
      </c>
      <c r="E79" t="s">
        <v>33</v>
      </c>
    </row>
    <row r="80" spans="2:22" x14ac:dyDescent="0.25">
      <c r="B80" t="s">
        <v>34</v>
      </c>
      <c r="D80" s="21">
        <f>D79/($H$28)</f>
        <v>71.179403190171101</v>
      </c>
      <c r="E80" t="s">
        <v>35</v>
      </c>
    </row>
    <row r="81" spans="2:22" x14ac:dyDescent="0.25">
      <c r="B81" t="s">
        <v>36</v>
      </c>
      <c r="D81" s="22">
        <f>($H$11/12)*D80*$H$27/$H$21</f>
        <v>1496104.0298672079</v>
      </c>
      <c r="G81" s="45" t="s">
        <v>84</v>
      </c>
    </row>
    <row r="82" spans="2:22" x14ac:dyDescent="0.25">
      <c r="B82" t="s">
        <v>42</v>
      </c>
      <c r="C82">
        <v>1</v>
      </c>
      <c r="D82">
        <v>2</v>
      </c>
      <c r="E82">
        <v>3</v>
      </c>
      <c r="F82">
        <v>4</v>
      </c>
      <c r="G82">
        <v>5</v>
      </c>
      <c r="H82">
        <v>6</v>
      </c>
      <c r="I82">
        <v>7</v>
      </c>
      <c r="J82">
        <v>8</v>
      </c>
      <c r="K82">
        <v>9</v>
      </c>
      <c r="L82">
        <v>10</v>
      </c>
      <c r="M82">
        <v>11</v>
      </c>
      <c r="N82">
        <v>12</v>
      </c>
      <c r="O82">
        <v>13</v>
      </c>
      <c r="P82">
        <v>14</v>
      </c>
      <c r="Q82">
        <v>15</v>
      </c>
      <c r="R82">
        <v>16</v>
      </c>
      <c r="S82">
        <v>17</v>
      </c>
      <c r="T82">
        <v>18</v>
      </c>
      <c r="U82">
        <v>19</v>
      </c>
      <c r="V82">
        <v>20</v>
      </c>
    </row>
    <row r="83" spans="2:22" x14ac:dyDescent="0.25">
      <c r="B83" t="s">
        <v>41</v>
      </c>
      <c r="C83">
        <f>64/D81</f>
        <v>4.2777773953112442E-5</v>
      </c>
      <c r="D83" s="43">
        <f t="shared" ref="D83:V83" si="3">1/((-2*LOG10(( ($H$14/3.7)+(2.51/($D$81*SQRT(C83))))))^2)</f>
        <v>1.9498398007833252E-2</v>
      </c>
      <c r="E83" s="43">
        <f t="shared" si="3"/>
        <v>1.1115767039560522E-2</v>
      </c>
      <c r="F83" s="43">
        <f t="shared" si="3"/>
        <v>1.1523827274100812E-2</v>
      </c>
      <c r="G83" s="43">
        <f t="shared" si="3"/>
        <v>1.1495920515083132E-2</v>
      </c>
      <c r="H83" s="43">
        <f t="shared" si="3"/>
        <v>1.1497789735296877E-2</v>
      </c>
      <c r="I83" s="43">
        <f t="shared" si="3"/>
        <v>1.1497664357397604E-2</v>
      </c>
      <c r="J83" s="43">
        <f t="shared" si="3"/>
        <v>1.1497672766325906E-2</v>
      </c>
      <c r="K83" s="43">
        <f t="shared" si="3"/>
        <v>1.1497672202346753E-2</v>
      </c>
      <c r="L83" s="43">
        <f t="shared" si="3"/>
        <v>1.1497672240172304E-2</v>
      </c>
      <c r="M83" s="43">
        <f t="shared" si="3"/>
        <v>1.1497672237635379E-2</v>
      </c>
      <c r="N83" s="43">
        <f t="shared" si="3"/>
        <v>1.1497672237805531E-2</v>
      </c>
      <c r="O83" s="43">
        <f t="shared" si="3"/>
        <v>1.1497672237794116E-2</v>
      </c>
      <c r="P83" s="43">
        <f t="shared" si="3"/>
        <v>1.1497672237794881E-2</v>
      </c>
      <c r="Q83" s="43">
        <f t="shared" si="3"/>
        <v>1.1497672237794829E-2</v>
      </c>
      <c r="R83" s="43">
        <f t="shared" si="3"/>
        <v>1.1497672237794833E-2</v>
      </c>
      <c r="S83" s="43">
        <f t="shared" si="3"/>
        <v>1.1497672237794833E-2</v>
      </c>
      <c r="T83" s="43">
        <f t="shared" si="3"/>
        <v>1.1497672237794833E-2</v>
      </c>
      <c r="U83" s="43">
        <f t="shared" si="3"/>
        <v>1.1497672237794833E-2</v>
      </c>
      <c r="V83" s="43">
        <f t="shared" si="3"/>
        <v>1.1497672237794833E-2</v>
      </c>
    </row>
    <row r="84" spans="2:22" x14ac:dyDescent="0.25">
      <c r="B84" t="s">
        <v>43</v>
      </c>
      <c r="D84">
        <f>IF(D81&lt;=2100,C83,V83)</f>
        <v>1.1497672237794833E-2</v>
      </c>
    </row>
    <row r="85" spans="2:22" x14ac:dyDescent="0.25">
      <c r="B85" t="s">
        <v>44</v>
      </c>
      <c r="D85" s="20">
        <f>SQRT(((144*32.174*($H$28)^2*$H$27)/(D84*($H$13/($H$11/12))+2*LN($H$17/$H$18)))*(($H$17^2-$H$18^2)/$H$17))</f>
        <v>2.073229423601441</v>
      </c>
      <c r="E85" t="s">
        <v>31</v>
      </c>
    </row>
    <row r="87" spans="2:22" x14ac:dyDescent="0.25">
      <c r="B87" s="23" t="s">
        <v>49</v>
      </c>
    </row>
    <row r="88" spans="2:22" x14ac:dyDescent="0.25">
      <c r="B88" t="s">
        <v>30</v>
      </c>
      <c r="D88" s="20">
        <f>D85</f>
        <v>2.073229423601441</v>
      </c>
      <c r="E88" t="s">
        <v>31</v>
      </c>
    </row>
    <row r="89" spans="2:22" x14ac:dyDescent="0.25">
      <c r="B89" t="s">
        <v>32</v>
      </c>
      <c r="D89" s="21">
        <f>D88/$H$27</f>
        <v>3.8527045237052682</v>
      </c>
      <c r="E89" t="s">
        <v>33</v>
      </c>
    </row>
    <row r="90" spans="2:22" x14ac:dyDescent="0.25">
      <c r="B90" t="s">
        <v>34</v>
      </c>
      <c r="D90" s="21">
        <f>D89/($H$28)</f>
        <v>71.207505623178733</v>
      </c>
      <c r="E90" t="s">
        <v>35</v>
      </c>
    </row>
    <row r="91" spans="2:22" x14ac:dyDescent="0.25">
      <c r="B91" t="s">
        <v>36</v>
      </c>
      <c r="D91" s="22">
        <f>($H$11/12)*D90*$H$27/$H$21</f>
        <v>1496694.7086504989</v>
      </c>
      <c r="G91" s="45" t="s">
        <v>84</v>
      </c>
    </row>
    <row r="92" spans="2:22" x14ac:dyDescent="0.25">
      <c r="B92" t="s">
        <v>42</v>
      </c>
      <c r="C92">
        <v>1</v>
      </c>
      <c r="D92">
        <v>2</v>
      </c>
      <c r="E92">
        <v>3</v>
      </c>
      <c r="F92">
        <v>4</v>
      </c>
      <c r="G92">
        <v>5</v>
      </c>
      <c r="H92">
        <v>6</v>
      </c>
      <c r="I92">
        <v>7</v>
      </c>
      <c r="J92">
        <v>8</v>
      </c>
      <c r="K92">
        <v>9</v>
      </c>
      <c r="L92">
        <v>10</v>
      </c>
      <c r="M92">
        <v>11</v>
      </c>
      <c r="N92">
        <v>12</v>
      </c>
      <c r="O92">
        <v>13</v>
      </c>
      <c r="P92">
        <v>14</v>
      </c>
      <c r="Q92">
        <v>15</v>
      </c>
      <c r="R92">
        <v>16</v>
      </c>
      <c r="S92">
        <v>17</v>
      </c>
      <c r="T92">
        <v>18</v>
      </c>
      <c r="U92">
        <v>19</v>
      </c>
      <c r="V92">
        <v>20</v>
      </c>
    </row>
    <row r="93" spans="2:22" x14ac:dyDescent="0.25">
      <c r="B93" t="s">
        <v>41</v>
      </c>
      <c r="C93">
        <f>64/D91</f>
        <v>4.2760891469781347E-5</v>
      </c>
      <c r="D93" s="43">
        <f t="shared" ref="D93:V93" si="4">1/((-2*LOG10(( ($H$14/3.7)+(2.51/($D$91*SQRT(C93))))))^2)</f>
        <v>1.9497486155246043E-2</v>
      </c>
      <c r="E93" s="43">
        <f t="shared" si="4"/>
        <v>1.1115265124051522E-2</v>
      </c>
      <c r="F93" s="43">
        <f t="shared" si="4"/>
        <v>1.152324868610633E-2</v>
      </c>
      <c r="G93" s="43">
        <f t="shared" si="4"/>
        <v>1.1495350807659238E-2</v>
      </c>
      <c r="H93" s="43">
        <f t="shared" si="4"/>
        <v>1.1497219193774829E-2</v>
      </c>
      <c r="I93" s="43">
        <f t="shared" si="4"/>
        <v>1.1497093887911727E-2</v>
      </c>
      <c r="J93" s="43">
        <f t="shared" si="4"/>
        <v>1.1497102290930015E-2</v>
      </c>
      <c r="K93" s="43">
        <f t="shared" si="4"/>
        <v>1.1497101727419579E-2</v>
      </c>
      <c r="L93" s="43">
        <f t="shared" si="4"/>
        <v>1.1497101765208842E-2</v>
      </c>
      <c r="M93" s="43">
        <f t="shared" si="4"/>
        <v>1.1497101762674676E-2</v>
      </c>
      <c r="N93" s="43">
        <f t="shared" si="4"/>
        <v>1.1497101762844622E-2</v>
      </c>
      <c r="O93" s="43">
        <f t="shared" si="4"/>
        <v>1.1497101762833221E-2</v>
      </c>
      <c r="P93" s="43">
        <f t="shared" si="4"/>
        <v>1.1497101762833988E-2</v>
      </c>
      <c r="Q93" s="43">
        <f t="shared" si="4"/>
        <v>1.1497101762833936E-2</v>
      </c>
      <c r="R93" s="43">
        <f t="shared" si="4"/>
        <v>1.1497101762833939E-2</v>
      </c>
      <c r="S93" s="43">
        <f t="shared" si="4"/>
        <v>1.1497101762833939E-2</v>
      </c>
      <c r="T93" s="43">
        <f t="shared" si="4"/>
        <v>1.1497101762833939E-2</v>
      </c>
      <c r="U93" s="43">
        <f t="shared" si="4"/>
        <v>1.1497101762833939E-2</v>
      </c>
      <c r="V93" s="43">
        <f t="shared" si="4"/>
        <v>1.1497101762833939E-2</v>
      </c>
    </row>
    <row r="94" spans="2:22" x14ac:dyDescent="0.25">
      <c r="B94" t="s">
        <v>43</v>
      </c>
      <c r="D94">
        <f>IF(D91&lt;=2100,C93,V93)</f>
        <v>1.1497101762833939E-2</v>
      </c>
    </row>
    <row r="95" spans="2:22" x14ac:dyDescent="0.25">
      <c r="B95" t="s">
        <v>44</v>
      </c>
      <c r="D95" s="20">
        <f>SQRT(((144*32.174*($H$28)^2*$H$27)/(D94*($H$13/($H$11/12))+2*LN($H$17/$H$18)))*(($H$17^2-$H$18^2)/$H$17))</f>
        <v>2.0732805471372937</v>
      </c>
      <c r="E95" t="s">
        <v>31</v>
      </c>
    </row>
    <row r="97" spans="2:22" x14ac:dyDescent="0.25">
      <c r="B97" s="23" t="s">
        <v>50</v>
      </c>
    </row>
    <row r="98" spans="2:22" x14ac:dyDescent="0.25">
      <c r="B98" t="s">
        <v>30</v>
      </c>
      <c r="D98" s="20">
        <f>D95</f>
        <v>2.0732805471372937</v>
      </c>
      <c r="E98" t="s">
        <v>31</v>
      </c>
    </row>
    <row r="99" spans="2:22" x14ac:dyDescent="0.25">
      <c r="B99" t="s">
        <v>32</v>
      </c>
      <c r="D99" s="21">
        <f>D98/$H$27</f>
        <v>3.852799527121487</v>
      </c>
      <c r="E99" t="s">
        <v>33</v>
      </c>
    </row>
    <row r="100" spans="2:22" x14ac:dyDescent="0.25">
      <c r="B100" t="s">
        <v>34</v>
      </c>
      <c r="D100" s="21">
        <f>D99/($H$28)</f>
        <v>71.209261521211658</v>
      </c>
      <c r="E100" t="s">
        <v>35</v>
      </c>
    </row>
    <row r="101" spans="2:22" x14ac:dyDescent="0.25">
      <c r="B101" t="s">
        <v>36</v>
      </c>
      <c r="D101" s="22">
        <f>($H$11/12)*D100*$H$27/$H$21</f>
        <v>1496731.6154803594</v>
      </c>
      <c r="G101" s="45" t="s">
        <v>84</v>
      </c>
    </row>
    <row r="102" spans="2:22" x14ac:dyDescent="0.25">
      <c r="B102" t="s">
        <v>42</v>
      </c>
      <c r="C102">
        <v>1</v>
      </c>
      <c r="D102">
        <v>2</v>
      </c>
      <c r="E102">
        <v>3</v>
      </c>
      <c r="F102">
        <v>4</v>
      </c>
      <c r="G102">
        <v>5</v>
      </c>
      <c r="H102">
        <v>6</v>
      </c>
      <c r="I102">
        <v>7</v>
      </c>
      <c r="J102">
        <v>8</v>
      </c>
      <c r="K102">
        <v>9</v>
      </c>
      <c r="L102">
        <v>10</v>
      </c>
      <c r="M102">
        <v>11</v>
      </c>
      <c r="N102">
        <v>12</v>
      </c>
      <c r="O102">
        <v>13</v>
      </c>
      <c r="P102">
        <v>14</v>
      </c>
      <c r="Q102">
        <v>15</v>
      </c>
      <c r="R102">
        <v>16</v>
      </c>
      <c r="S102">
        <v>17</v>
      </c>
      <c r="T102">
        <v>18</v>
      </c>
      <c r="U102">
        <v>19</v>
      </c>
      <c r="V102">
        <v>20</v>
      </c>
    </row>
    <row r="103" spans="2:22" x14ac:dyDescent="0.25">
      <c r="B103" t="s">
        <v>41</v>
      </c>
      <c r="C103">
        <f>64/D101</f>
        <v>4.2759837059672127E-5</v>
      </c>
      <c r="D103" s="43">
        <f t="shared" ref="D103:V103" si="5">1/((-2*LOG10(( ($H$14/3.7)+(2.51/($D$101*SQRT(C103))))))^2)</f>
        <v>1.949742919502058E-2</v>
      </c>
      <c r="E103" s="43">
        <f t="shared" si="5"/>
        <v>1.1115233773087263E-2</v>
      </c>
      <c r="F103" s="43">
        <f t="shared" si="5"/>
        <v>1.1523212545566102E-2</v>
      </c>
      <c r="G103" s="43">
        <f t="shared" si="5"/>
        <v>1.1495315221836758E-2</v>
      </c>
      <c r="H103" s="43">
        <f t="shared" si="5"/>
        <v>1.1497183555854428E-2</v>
      </c>
      <c r="I103" s="43">
        <f t="shared" si="5"/>
        <v>1.1497058254490419E-2</v>
      </c>
      <c r="J103" s="43">
        <f t="shared" si="5"/>
        <v>1.1497066657139617E-2</v>
      </c>
      <c r="K103" s="43">
        <f t="shared" si="5"/>
        <v>1.1497066093658449E-2</v>
      </c>
      <c r="L103" s="43">
        <f t="shared" si="5"/>
        <v>1.1497066131445447E-2</v>
      </c>
      <c r="M103" s="43">
        <f t="shared" si="5"/>
        <v>1.1497066128911458E-2</v>
      </c>
      <c r="N103" s="43">
        <f t="shared" si="5"/>
        <v>1.1497066129081385E-2</v>
      </c>
      <c r="O103" s="43">
        <f t="shared" si="5"/>
        <v>1.1497066129069993E-2</v>
      </c>
      <c r="P103" s="43">
        <f t="shared" si="5"/>
        <v>1.1497066129070756E-2</v>
      </c>
      <c r="Q103" s="43">
        <f t="shared" si="5"/>
        <v>1.1497066129070702E-2</v>
      </c>
      <c r="R103" s="43">
        <f t="shared" si="5"/>
        <v>1.1497066129070706E-2</v>
      </c>
      <c r="S103" s="43">
        <f t="shared" si="5"/>
        <v>1.1497066129070706E-2</v>
      </c>
      <c r="T103" s="43">
        <f t="shared" si="5"/>
        <v>1.1497066129070706E-2</v>
      </c>
      <c r="U103" s="43">
        <f t="shared" si="5"/>
        <v>1.1497066129070706E-2</v>
      </c>
      <c r="V103" s="43">
        <f t="shared" si="5"/>
        <v>1.1497066129070706E-2</v>
      </c>
    </row>
    <row r="104" spans="2:22" x14ac:dyDescent="0.25">
      <c r="B104" t="s">
        <v>43</v>
      </c>
      <c r="D104">
        <f>IF(D101&lt;=2100,C103,V103)</f>
        <v>1.1497066129070706E-2</v>
      </c>
    </row>
    <row r="105" spans="2:22" x14ac:dyDescent="0.25">
      <c r="B105" t="s">
        <v>44</v>
      </c>
      <c r="D105" s="20">
        <f>SQRT(((144*32.174*($H$28)^2*$H$27)/(D104*($H$13/($H$11/12))+2*LN($H$17/$H$18)))*(($H$17^2-$H$18^2)/$H$17))</f>
        <v>2.0732837406088556</v>
      </c>
      <c r="E105" t="s">
        <v>31</v>
      </c>
    </row>
    <row r="107" spans="2:22" x14ac:dyDescent="0.25">
      <c r="B107" s="23" t="s">
        <v>51</v>
      </c>
    </row>
    <row r="108" spans="2:22" x14ac:dyDescent="0.25">
      <c r="B108" t="s">
        <v>30</v>
      </c>
      <c r="D108" s="20">
        <f>D105</f>
        <v>2.0732837406088556</v>
      </c>
      <c r="E108" t="s">
        <v>31</v>
      </c>
    </row>
    <row r="109" spans="2:22" x14ac:dyDescent="0.25">
      <c r="B109" t="s">
        <v>32</v>
      </c>
      <c r="D109" s="21">
        <f>D108/$H$27</f>
        <v>3.8528054615840182</v>
      </c>
      <c r="E109" t="s">
        <v>33</v>
      </c>
    </row>
    <row r="110" spans="2:22" x14ac:dyDescent="0.25">
      <c r="B110" t="s">
        <v>34</v>
      </c>
      <c r="D110" s="21">
        <f>D109/($H$28)</f>
        <v>71.209371204752529</v>
      </c>
      <c r="E110" t="s">
        <v>35</v>
      </c>
    </row>
    <row r="111" spans="2:22" x14ac:dyDescent="0.25">
      <c r="B111" t="s">
        <v>36</v>
      </c>
      <c r="D111" s="22">
        <f>($H$11/12)*D110*$H$27/$H$21</f>
        <v>1496733.9208942878</v>
      </c>
      <c r="G111" s="45" t="s">
        <v>84</v>
      </c>
    </row>
    <row r="112" spans="2:22" x14ac:dyDescent="0.25">
      <c r="B112" t="s">
        <v>42</v>
      </c>
      <c r="C112">
        <v>1</v>
      </c>
      <c r="D112">
        <v>2</v>
      </c>
      <c r="E112">
        <v>3</v>
      </c>
      <c r="F112">
        <v>4</v>
      </c>
      <c r="G112">
        <v>5</v>
      </c>
      <c r="H112">
        <v>6</v>
      </c>
      <c r="I112">
        <v>7</v>
      </c>
      <c r="J112">
        <v>8</v>
      </c>
      <c r="K112">
        <v>9</v>
      </c>
      <c r="L112">
        <v>10</v>
      </c>
      <c r="M112">
        <v>11</v>
      </c>
      <c r="N112">
        <v>12</v>
      </c>
      <c r="O112">
        <v>13</v>
      </c>
      <c r="P112">
        <v>14</v>
      </c>
      <c r="Q112">
        <v>15</v>
      </c>
      <c r="R112">
        <v>16</v>
      </c>
      <c r="S112">
        <v>17</v>
      </c>
      <c r="T112">
        <v>18</v>
      </c>
      <c r="U112">
        <v>19</v>
      </c>
      <c r="V112">
        <v>20</v>
      </c>
    </row>
    <row r="113" spans="2:22" x14ac:dyDescent="0.25">
      <c r="B113" t="s">
        <v>41</v>
      </c>
      <c r="C113">
        <f>64/D111</f>
        <v>4.2759771196847371E-5</v>
      </c>
      <c r="D113" s="43">
        <f t="shared" ref="D113:V113" si="6">1/((-2*LOG10(( ($H$14/3.7)+(2.51/($D$111*SQRT(C113))))))^2)</f>
        <v>1.9497425637011075E-2</v>
      </c>
      <c r="E113" s="43">
        <f t="shared" si="6"/>
        <v>1.111523181476287E-2</v>
      </c>
      <c r="F113" s="43">
        <f t="shared" si="6"/>
        <v>1.1523210288061315E-2</v>
      </c>
      <c r="G113" s="43">
        <f t="shared" si="6"/>
        <v>1.1495312998982233E-2</v>
      </c>
      <c r="H113" s="43">
        <f t="shared" si="6"/>
        <v>1.1497181329745637E-2</v>
      </c>
      <c r="I113" s="43">
        <f t="shared" si="6"/>
        <v>1.1497056028662659E-2</v>
      </c>
      <c r="J113" s="43">
        <f t="shared" si="6"/>
        <v>1.1497064431288801E-2</v>
      </c>
      <c r="K113" s="43">
        <f t="shared" si="6"/>
        <v>1.1497063867809463E-2</v>
      </c>
      <c r="L113" s="43">
        <f t="shared" si="6"/>
        <v>1.1497063905596322E-2</v>
      </c>
      <c r="M113" s="43">
        <f t="shared" si="6"/>
        <v>1.1497063903062337E-2</v>
      </c>
      <c r="N113" s="43">
        <f t="shared" si="6"/>
        <v>1.1497063903232269E-2</v>
      </c>
      <c r="O113" s="43">
        <f t="shared" si="6"/>
        <v>1.1497063903220873E-2</v>
      </c>
      <c r="P113" s="43">
        <f t="shared" si="6"/>
        <v>1.1497063903221633E-2</v>
      </c>
      <c r="Q113" s="43">
        <f t="shared" si="6"/>
        <v>1.1497063903221586E-2</v>
      </c>
      <c r="R113" s="43">
        <f t="shared" si="6"/>
        <v>1.1497063903221586E-2</v>
      </c>
      <c r="S113" s="43">
        <f t="shared" si="6"/>
        <v>1.1497063903221586E-2</v>
      </c>
      <c r="T113" s="43">
        <f t="shared" si="6"/>
        <v>1.1497063903221586E-2</v>
      </c>
      <c r="U113" s="43">
        <f t="shared" si="6"/>
        <v>1.1497063903221586E-2</v>
      </c>
      <c r="V113" s="43">
        <f t="shared" si="6"/>
        <v>1.1497063903221586E-2</v>
      </c>
    </row>
    <row r="114" spans="2:22" x14ac:dyDescent="0.25">
      <c r="B114" t="s">
        <v>43</v>
      </c>
      <c r="D114">
        <f>IF(D111&lt;=2100,C113,V113)</f>
        <v>1.1497063903221586E-2</v>
      </c>
    </row>
    <row r="115" spans="2:22" x14ac:dyDescent="0.25">
      <c r="B115" t="s">
        <v>44</v>
      </c>
      <c r="D115" s="20">
        <f>SQRT(((144*32.174*($H$28)^2*$H$27)/(D114*($H$13/($H$11/12))+2*LN($H$17/$H$18)))*(($H$17^2-$H$18^2)/$H$17))</f>
        <v>2.0732839400883005</v>
      </c>
      <c r="E115" t="s">
        <v>31</v>
      </c>
    </row>
    <row r="117" spans="2:22" x14ac:dyDescent="0.25">
      <c r="B117" s="23" t="s">
        <v>52</v>
      </c>
    </row>
    <row r="118" spans="2:22" x14ac:dyDescent="0.25">
      <c r="B118" t="s">
        <v>30</v>
      </c>
      <c r="D118" s="20">
        <f>D115</f>
        <v>2.0732839400883005</v>
      </c>
      <c r="E118" t="s">
        <v>31</v>
      </c>
    </row>
    <row r="119" spans="2:22" x14ac:dyDescent="0.25">
      <c r="B119" t="s">
        <v>32</v>
      </c>
      <c r="D119" s="21">
        <f>D118/$H$27</f>
        <v>3.8528058322788152</v>
      </c>
      <c r="E119" t="s">
        <v>33</v>
      </c>
    </row>
    <row r="120" spans="2:22" x14ac:dyDescent="0.25">
      <c r="B120" t="s">
        <v>34</v>
      </c>
      <c r="D120" s="21">
        <f>D119/($H$28)</f>
        <v>71.209378056108932</v>
      </c>
      <c r="E120" t="s">
        <v>35</v>
      </c>
    </row>
    <row r="121" spans="2:22" x14ac:dyDescent="0.25">
      <c r="B121" t="s">
        <v>36</v>
      </c>
      <c r="D121" s="22">
        <f>($H$11/12)*D120*$H$27/$H$21</f>
        <v>1496734.0649014225</v>
      </c>
      <c r="G121" s="45" t="s">
        <v>84</v>
      </c>
    </row>
    <row r="122" spans="2:22" x14ac:dyDescent="0.25">
      <c r="B122" t="s">
        <v>42</v>
      </c>
      <c r="C122">
        <v>1</v>
      </c>
      <c r="D122">
        <v>2</v>
      </c>
      <c r="E122">
        <v>3</v>
      </c>
      <c r="F122">
        <v>4</v>
      </c>
      <c r="G122">
        <v>5</v>
      </c>
      <c r="H122">
        <v>6</v>
      </c>
      <c r="I122">
        <v>7</v>
      </c>
      <c r="J122">
        <v>8</v>
      </c>
      <c r="K122">
        <v>9</v>
      </c>
      <c r="L122">
        <v>10</v>
      </c>
      <c r="M122">
        <v>11</v>
      </c>
      <c r="N122">
        <v>12</v>
      </c>
      <c r="O122">
        <v>13</v>
      </c>
      <c r="P122">
        <v>14</v>
      </c>
      <c r="Q122">
        <v>15</v>
      </c>
      <c r="R122">
        <v>16</v>
      </c>
      <c r="S122">
        <v>17</v>
      </c>
      <c r="T122">
        <v>18</v>
      </c>
      <c r="U122">
        <v>19</v>
      </c>
      <c r="V122">
        <v>20</v>
      </c>
    </row>
    <row r="123" spans="2:22" x14ac:dyDescent="0.25">
      <c r="B123" t="s">
        <v>41</v>
      </c>
      <c r="C123">
        <f>64/D121</f>
        <v>4.2759767082748363E-5</v>
      </c>
      <c r="D123" s="43">
        <f t="shared" ref="D123:V123" si="7">1/((-2*LOG10(( ($H$14/3.7)+(2.51/($D$121*SQRT(C123))))))^2)</f>
        <v>1.9497425414761068E-2</v>
      </c>
      <c r="E123" s="43">
        <f t="shared" si="7"/>
        <v>1.1115231692436747E-2</v>
      </c>
      <c r="F123" s="43">
        <f t="shared" si="7"/>
        <v>1.1523210147046983E-2</v>
      </c>
      <c r="G123" s="43">
        <f t="shared" si="7"/>
        <v>1.1495312860132311E-2</v>
      </c>
      <c r="H123" s="43">
        <f t="shared" si="7"/>
        <v>1.149718119069244E-2</v>
      </c>
      <c r="I123" s="43">
        <f t="shared" si="7"/>
        <v>1.1497055889627015E-2</v>
      </c>
      <c r="J123" s="43">
        <f t="shared" si="7"/>
        <v>1.1497064292251722E-2</v>
      </c>
      <c r="K123" s="43">
        <f t="shared" si="7"/>
        <v>1.1497063728772499E-2</v>
      </c>
      <c r="L123" s="43">
        <f t="shared" si="7"/>
        <v>1.1497063766559344E-2</v>
      </c>
      <c r="M123" s="43">
        <f t="shared" si="7"/>
        <v>1.1497063764025364E-2</v>
      </c>
      <c r="N123" s="43">
        <f t="shared" si="7"/>
        <v>1.149706376419529E-2</v>
      </c>
      <c r="O123" s="43">
        <f t="shared" si="7"/>
        <v>1.14970637641839E-2</v>
      </c>
      <c r="P123" s="43">
        <f t="shared" si="7"/>
        <v>1.149706376418466E-2</v>
      </c>
      <c r="Q123" s="43">
        <f t="shared" si="7"/>
        <v>1.1497063764184608E-2</v>
      </c>
      <c r="R123" s="43">
        <f t="shared" si="7"/>
        <v>1.1497063764184613E-2</v>
      </c>
      <c r="S123" s="43">
        <f t="shared" si="7"/>
        <v>1.1497063764184613E-2</v>
      </c>
      <c r="T123" s="43">
        <f t="shared" si="7"/>
        <v>1.1497063764184613E-2</v>
      </c>
      <c r="U123" s="43">
        <f t="shared" si="7"/>
        <v>1.1497063764184613E-2</v>
      </c>
      <c r="V123" s="43">
        <f t="shared" si="7"/>
        <v>1.1497063764184613E-2</v>
      </c>
    </row>
    <row r="124" spans="2:22" x14ac:dyDescent="0.25">
      <c r="B124" t="s">
        <v>43</v>
      </c>
      <c r="D124">
        <f>IF(D121&lt;=2100,C123,V123)</f>
        <v>1.1497063764184613E-2</v>
      </c>
    </row>
    <row r="125" spans="2:22" x14ac:dyDescent="0.25">
      <c r="B125" t="s">
        <v>44</v>
      </c>
      <c r="D125" s="20">
        <f>SQRT(((144*32.174*($H$28)^2*$H$27)/(D124*($H$13/($H$11/12))+2*LN($H$17/$H$18)))*(($H$17^2-$H$18^2)/$H$17))</f>
        <v>2.0732839525487239</v>
      </c>
      <c r="E125" t="s">
        <v>31</v>
      </c>
    </row>
    <row r="127" spans="2:22" x14ac:dyDescent="0.25">
      <c r="B127" s="23" t="s">
        <v>53</v>
      </c>
    </row>
    <row r="128" spans="2:22" x14ac:dyDescent="0.25">
      <c r="B128" t="s">
        <v>30</v>
      </c>
      <c r="D128" s="20">
        <f>D125</f>
        <v>2.0732839525487239</v>
      </c>
      <c r="E128" t="s">
        <v>31</v>
      </c>
    </row>
    <row r="129" spans="2:22" x14ac:dyDescent="0.25">
      <c r="B129" t="s">
        <v>32</v>
      </c>
      <c r="D129" s="21">
        <f>D128/$H$27</f>
        <v>3.8528058554341538</v>
      </c>
      <c r="E129" t="s">
        <v>33</v>
      </c>
    </row>
    <row r="130" spans="2:22" x14ac:dyDescent="0.25">
      <c r="B130" t="s">
        <v>34</v>
      </c>
      <c r="D130" s="21">
        <f>D129/($H$28)</f>
        <v>71.209378484076851</v>
      </c>
      <c r="E130" t="s">
        <v>35</v>
      </c>
    </row>
    <row r="131" spans="2:22" x14ac:dyDescent="0.25">
      <c r="B131" t="s">
        <v>36</v>
      </c>
      <c r="D131" s="22">
        <f>($H$11/12)*D130*$H$27/$H$21</f>
        <v>1496734.073896785</v>
      </c>
      <c r="G131" s="45" t="s">
        <v>84</v>
      </c>
    </row>
    <row r="132" spans="2:22" x14ac:dyDescent="0.25">
      <c r="B132" t="s">
        <v>42</v>
      </c>
      <c r="C132">
        <v>1</v>
      </c>
      <c r="D132">
        <v>2</v>
      </c>
      <c r="E132">
        <v>3</v>
      </c>
      <c r="F132">
        <v>4</v>
      </c>
      <c r="G132">
        <v>5</v>
      </c>
      <c r="H132">
        <v>6</v>
      </c>
      <c r="I132">
        <v>7</v>
      </c>
      <c r="J132">
        <v>8</v>
      </c>
      <c r="K132">
        <v>9</v>
      </c>
      <c r="L132">
        <v>10</v>
      </c>
      <c r="M132">
        <v>11</v>
      </c>
      <c r="N132">
        <v>12</v>
      </c>
      <c r="O132">
        <v>13</v>
      </c>
      <c r="P132">
        <v>14</v>
      </c>
      <c r="Q132">
        <v>15</v>
      </c>
      <c r="R132">
        <v>16</v>
      </c>
      <c r="S132">
        <v>17</v>
      </c>
      <c r="T132">
        <v>18</v>
      </c>
      <c r="U132">
        <v>19</v>
      </c>
      <c r="V132">
        <v>20</v>
      </c>
    </row>
    <row r="133" spans="2:22" x14ac:dyDescent="0.25">
      <c r="B133" t="s">
        <v>41</v>
      </c>
      <c r="C133">
        <f>64/D131</f>
        <v>4.2759766825762429E-5</v>
      </c>
      <c r="D133" s="43">
        <f t="shared" ref="D133:V133" si="8">1/((-2*LOG10(( ($H$14/3.7)+(2.51/($D$131*SQRT(C133))))))^2)</f>
        <v>1.9497425400878288E-2</v>
      </c>
      <c r="E133" s="43">
        <f t="shared" si="8"/>
        <v>1.1115231684795683E-2</v>
      </c>
      <c r="F133" s="43">
        <f t="shared" si="8"/>
        <v>1.1523210138238565E-2</v>
      </c>
      <c r="G133" s="43">
        <f t="shared" si="8"/>
        <v>1.1495312851459095E-2</v>
      </c>
      <c r="H133" s="43">
        <f t="shared" si="8"/>
        <v>1.1497181182006525E-2</v>
      </c>
      <c r="I133" s="43">
        <f t="shared" si="8"/>
        <v>1.1497055880942198E-2</v>
      </c>
      <c r="J133" s="43">
        <f t="shared" si="8"/>
        <v>1.1497064283566812E-2</v>
      </c>
      <c r="K133" s="43">
        <f t="shared" si="8"/>
        <v>1.1497063720087596E-2</v>
      </c>
      <c r="L133" s="43">
        <f t="shared" si="8"/>
        <v>1.1497063757874444E-2</v>
      </c>
      <c r="M133" s="43">
        <f t="shared" si="8"/>
        <v>1.1497063755340464E-2</v>
      </c>
      <c r="N133" s="43">
        <f t="shared" si="8"/>
        <v>1.149706375551039E-2</v>
      </c>
      <c r="O133" s="43">
        <f t="shared" si="8"/>
        <v>1.1497063755498993E-2</v>
      </c>
      <c r="P133" s="43">
        <f t="shared" si="8"/>
        <v>1.149706375549976E-2</v>
      </c>
      <c r="Q133" s="43">
        <f t="shared" si="8"/>
        <v>1.1497063755499708E-2</v>
      </c>
      <c r="R133" s="43">
        <f t="shared" si="8"/>
        <v>1.1497063755499713E-2</v>
      </c>
      <c r="S133" s="43">
        <f t="shared" si="8"/>
        <v>1.1497063755499713E-2</v>
      </c>
      <c r="T133" s="43">
        <f t="shared" si="8"/>
        <v>1.1497063755499713E-2</v>
      </c>
      <c r="U133" s="43">
        <f t="shared" si="8"/>
        <v>1.1497063755499713E-2</v>
      </c>
      <c r="V133" s="43">
        <f t="shared" si="8"/>
        <v>1.1497063755499713E-2</v>
      </c>
    </row>
    <row r="134" spans="2:22" x14ac:dyDescent="0.25">
      <c r="B134" t="s">
        <v>43</v>
      </c>
      <c r="D134">
        <f>IF(D131&lt;=2100,C133,V133)</f>
        <v>1.1497063755499713E-2</v>
      </c>
    </row>
    <row r="135" spans="2:22" x14ac:dyDescent="0.25">
      <c r="B135" t="s">
        <v>44</v>
      </c>
      <c r="D135" s="20">
        <f>SQRT(((144*32.174*($H$28)^2*$H$27)/(D134*($H$13/($H$11/12))+2*LN($H$17/$H$18)))*(($H$17^2-$H$18^2)/$H$17))</f>
        <v>2.0732839533270604</v>
      </c>
      <c r="E135" t="s">
        <v>31</v>
      </c>
    </row>
    <row r="137" spans="2:22" x14ac:dyDescent="0.25">
      <c r="B137" s="23" t="s">
        <v>54</v>
      </c>
    </row>
    <row r="138" spans="2:22" x14ac:dyDescent="0.25">
      <c r="B138" t="s">
        <v>30</v>
      </c>
      <c r="D138" s="20">
        <f>D135</f>
        <v>2.0732839533270604</v>
      </c>
      <c r="E138" t="s">
        <v>31</v>
      </c>
    </row>
    <row r="139" spans="2:22" x14ac:dyDescent="0.25">
      <c r="B139" t="s">
        <v>32</v>
      </c>
      <c r="D139" s="21">
        <f>D138/$H$27</f>
        <v>3.8528058568805448</v>
      </c>
      <c r="E139" t="s">
        <v>33</v>
      </c>
    </row>
    <row r="140" spans="2:22" x14ac:dyDescent="0.25">
      <c r="B140" t="s">
        <v>34</v>
      </c>
      <c r="D140" s="21">
        <f>D139/($H$28)</f>
        <v>71.209378510809728</v>
      </c>
      <c r="E140" t="s">
        <v>35</v>
      </c>
    </row>
    <row r="141" spans="2:22" x14ac:dyDescent="0.25">
      <c r="B141" t="s">
        <v>36</v>
      </c>
      <c r="D141" s="22">
        <f>($H$11/12)*D140*$H$27/$H$21</f>
        <v>1496734.0744586773</v>
      </c>
      <c r="G141" s="45" t="s">
        <v>84</v>
      </c>
    </row>
    <row r="142" spans="2:22" x14ac:dyDescent="0.25">
      <c r="B142" t="s">
        <v>42</v>
      </c>
      <c r="C142">
        <v>1</v>
      </c>
      <c r="D142">
        <v>2</v>
      </c>
      <c r="E142">
        <v>3</v>
      </c>
      <c r="F142">
        <v>4</v>
      </c>
      <c r="G142">
        <v>5</v>
      </c>
      <c r="H142">
        <v>6</v>
      </c>
      <c r="I142">
        <v>7</v>
      </c>
      <c r="J142">
        <v>8</v>
      </c>
      <c r="K142">
        <v>9</v>
      </c>
      <c r="L142">
        <v>10</v>
      </c>
      <c r="M142">
        <v>11</v>
      </c>
      <c r="N142">
        <v>12</v>
      </c>
      <c r="O142">
        <v>13</v>
      </c>
      <c r="P142">
        <v>14</v>
      </c>
      <c r="Q142">
        <v>15</v>
      </c>
      <c r="R142">
        <v>16</v>
      </c>
      <c r="S142">
        <v>17</v>
      </c>
      <c r="T142">
        <v>18</v>
      </c>
      <c r="U142">
        <v>19</v>
      </c>
      <c r="V142">
        <v>20</v>
      </c>
    </row>
    <row r="143" spans="2:22" x14ac:dyDescent="0.25">
      <c r="B143" t="s">
        <v>41</v>
      </c>
      <c r="C143">
        <f>64/D141</f>
        <v>4.2759766809709888E-5</v>
      </c>
      <c r="D143">
        <f t="shared" ref="D143:V143" si="9">1/((-2*LOG10(( ($H$14/3.7)+(2.51/($D$141*SQRT(C143))))))^2)</f>
        <v>1.9497425400011106E-2</v>
      </c>
      <c r="E143" s="43">
        <f t="shared" si="9"/>
        <v>1.1115231684318385E-2</v>
      </c>
      <c r="F143" s="43">
        <f t="shared" si="9"/>
        <v>1.1523210137688351E-2</v>
      </c>
      <c r="G143" s="43">
        <f t="shared" si="9"/>
        <v>1.1495312850917327E-2</v>
      </c>
      <c r="H143" s="43">
        <f t="shared" si="9"/>
        <v>1.1497181181463961E-2</v>
      </c>
      <c r="I143" s="43">
        <f t="shared" si="9"/>
        <v>1.1497055880399704E-2</v>
      </c>
      <c r="J143" s="43">
        <f t="shared" si="9"/>
        <v>1.1497064283024312E-2</v>
      </c>
      <c r="K143" s="43">
        <f t="shared" si="9"/>
        <v>1.1497063719545094E-2</v>
      </c>
      <c r="L143" s="43">
        <f t="shared" si="9"/>
        <v>1.1497063757331944E-2</v>
      </c>
      <c r="M143" s="43">
        <f t="shared" si="9"/>
        <v>1.1497063754797964E-2</v>
      </c>
      <c r="N143" s="43">
        <f t="shared" si="9"/>
        <v>1.1497063754967889E-2</v>
      </c>
      <c r="O143" s="43">
        <f t="shared" si="9"/>
        <v>1.1497063754956495E-2</v>
      </c>
      <c r="P143" s="43">
        <f t="shared" si="9"/>
        <v>1.1497063754957262E-2</v>
      </c>
      <c r="Q143" s="43">
        <f t="shared" si="9"/>
        <v>1.1497063754957208E-2</v>
      </c>
      <c r="R143" s="43">
        <f t="shared" si="9"/>
        <v>1.1497063754957211E-2</v>
      </c>
      <c r="S143" s="43">
        <f t="shared" si="9"/>
        <v>1.1497063754957211E-2</v>
      </c>
      <c r="T143" s="43">
        <f t="shared" si="9"/>
        <v>1.1497063754957211E-2</v>
      </c>
      <c r="U143" s="43">
        <f t="shared" si="9"/>
        <v>1.1497063754957211E-2</v>
      </c>
      <c r="V143" s="43">
        <f t="shared" si="9"/>
        <v>1.1497063754957211E-2</v>
      </c>
    </row>
    <row r="144" spans="2:22" x14ac:dyDescent="0.25">
      <c r="B144" t="s">
        <v>43</v>
      </c>
      <c r="D144">
        <f>IF(D141&lt;=2100,C143,V143)</f>
        <v>1.1497063754957211E-2</v>
      </c>
    </row>
    <row r="145" spans="2:11" x14ac:dyDescent="0.25">
      <c r="B145" t="s">
        <v>44</v>
      </c>
      <c r="D145" s="20">
        <f>SQRT(((144*32.174*($H$28)^2*$H$27)/(D144*($H$13/($H$11/12))+2*LN($H$17/$H$18)))*(($H$17^2-$H$18^2)/$H$17))</f>
        <v>2.0732839533756788</v>
      </c>
      <c r="E145" t="s">
        <v>31</v>
      </c>
    </row>
    <row r="147" spans="2:11" x14ac:dyDescent="0.25">
      <c r="B147" s="23" t="s">
        <v>55</v>
      </c>
      <c r="D147" s="24" t="b">
        <f>IF(ABS(D145-D135)&gt;0.001,FALSE,TRUE)</f>
        <v>1</v>
      </c>
    </row>
    <row r="149" spans="2:11" ht="17.25" x14ac:dyDescent="0.25">
      <c r="B149" s="23" t="s">
        <v>61</v>
      </c>
      <c r="D149" t="s">
        <v>64</v>
      </c>
      <c r="E149">
        <f>SQRT(32.2*144*$E$22*$H$17/H149)</f>
        <v>1086.737785593152</v>
      </c>
      <c r="F149" t="s">
        <v>35</v>
      </c>
      <c r="G149" t="s">
        <v>62</v>
      </c>
      <c r="H149" s="1">
        <f>($H$17*$E$20)/(($H$19+459.67)*$E$23*10.7316)</f>
        <v>0.538123131645598</v>
      </c>
      <c r="I149" t="s">
        <v>58</v>
      </c>
      <c r="J149" t="s">
        <v>69</v>
      </c>
      <c r="K149" s="1">
        <f>D140/E149</f>
        <v>6.5525814464933649E-2</v>
      </c>
    </row>
    <row r="150" spans="2:11" ht="17.25" x14ac:dyDescent="0.25">
      <c r="D150" t="s">
        <v>65</v>
      </c>
      <c r="E150">
        <f>SQRT(32.2*144*$E$22*$H$18/H150)</f>
        <v>1086.737785593152</v>
      </c>
      <c r="F150" t="s">
        <v>35</v>
      </c>
      <c r="G150" t="s">
        <v>63</v>
      </c>
      <c r="H150" s="1">
        <f>($H$18*$E$20)/(($H$19+459.67)*$E$23*10.7316)</f>
        <v>0.51506071171792955</v>
      </c>
      <c r="I150" t="s">
        <v>58</v>
      </c>
      <c r="K150" s="1"/>
    </row>
    <row r="151" spans="2:11" x14ac:dyDescent="0.25">
      <c r="H151" s="1"/>
    </row>
    <row r="153" spans="2:11" x14ac:dyDescent="0.25">
      <c r="B153" s="23" t="s">
        <v>79</v>
      </c>
      <c r="E153" s="20">
        <f>100/SQRT(H27)</f>
        <v>136.31987196772687</v>
      </c>
      <c r="F153" t="s">
        <v>35</v>
      </c>
    </row>
  </sheetData>
  <mergeCells count="1">
    <mergeCell ref="B2:I2"/>
  </mergeCells>
  <hyperlinks>
    <hyperlink ref="B4" r:id="rId1"/>
  </hyperlinks>
  <pageMargins left="0.25" right="0.25" top="0.75" bottom="0.75" header="0.3" footer="0.3"/>
  <pageSetup paperSize="9" orientation="portrait" horizontalDpi="4294967293" vertic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compressible fluid</vt:lpstr>
      <vt:lpstr>'compressible fluid'!Print_Area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Aarav</dc:creator>
  <cp:lastModifiedBy>Aarav</cp:lastModifiedBy>
  <cp:lastPrinted>2015-03-22T13:56:27Z</cp:lastPrinted>
  <dcterms:created xsi:type="dcterms:W3CDTF">2015-03-22T09:40:56Z</dcterms:created>
  <dcterms:modified xsi:type="dcterms:W3CDTF">2015-08-09T15:57:39Z</dcterms:modified>
</cp:coreProperties>
</file>